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7359A403-4116-4776-B6F9-18EC16A06C96}" xr6:coauthVersionLast="47" xr6:coauthVersionMax="47" xr10:uidLastSave="{00000000-0000-0000-0000-000000000000}"/>
  <bookViews>
    <workbookView xWindow="-120" yWindow="-120" windowWidth="19440" windowHeight="15000" tabRatio="906" firstSheet="1" activeTab="1" xr2:uid="{00000000-000D-0000-FFFF-FFFF00000000}"/>
  </bookViews>
  <sheets>
    <sheet name="Aireación" sheetId="28" r:id="rId1"/>
    <sheet name="Planta TPQA" sheetId="12" r:id="rId2"/>
    <sheet name="Lecho de Secado" sheetId="37" r:id="rId3"/>
    <sheet name="Nitrificacion" sheetId="30" r:id="rId4"/>
    <sheet name="Agua-T°C" sheetId="32" r:id="rId5"/>
    <sheet name="Floculación" sheetId="31" r:id="rId6"/>
    <sheet name="Valvula Flotador" sheetId="34" r:id="rId7"/>
    <sheet name="Tuberías Varias" sheetId="35" r:id="rId8"/>
    <sheet name="Tubería de Aireación" sheetId="36" r:id="rId9"/>
  </sheets>
  <externalReferences>
    <externalReference r:id="rId10"/>
    <externalReference r:id="rId11"/>
  </externalReferences>
  <definedNames>
    <definedName name="_Hlk57647304" localSheetId="1">'Lecho de Secado'!$B$48</definedName>
    <definedName name="_xlnm.Print_Area" localSheetId="1">'Planta TPQA'!$C$12:$F$134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7" l="1"/>
  <c r="E9" i="37"/>
  <c r="H67" i="37"/>
  <c r="G66" i="37"/>
  <c r="E66" i="37"/>
  <c r="H65" i="37"/>
  <c r="H62" i="37"/>
  <c r="G61" i="37"/>
  <c r="E61" i="37"/>
  <c r="E63" i="37" s="1"/>
  <c r="H60" i="37"/>
  <c r="H59" i="37"/>
  <c r="H56" i="37"/>
  <c r="G55" i="37"/>
  <c r="E55" i="37"/>
  <c r="H54" i="37"/>
  <c r="H52" i="37"/>
  <c r="H45" i="37"/>
  <c r="G43" i="37"/>
  <c r="E43" i="37"/>
  <c r="E68" i="37" s="1"/>
  <c r="H42" i="37"/>
  <c r="H41" i="37"/>
  <c r="G48" i="37"/>
  <c r="E48" i="37"/>
  <c r="H47" i="37"/>
  <c r="H46" i="37"/>
  <c r="H38" i="37"/>
  <c r="H36" i="37"/>
  <c r="G35" i="37"/>
  <c r="G37" i="37" s="1"/>
  <c r="E35" i="37"/>
  <c r="E37" i="37" s="1"/>
  <c r="H29" i="37"/>
  <c r="H28" i="37"/>
  <c r="B28" i="37"/>
  <c r="H27" i="37"/>
  <c r="G18" i="37"/>
  <c r="E18" i="37"/>
  <c r="H17" i="37"/>
  <c r="H13" i="37"/>
  <c r="H8" i="37"/>
  <c r="H6" i="37"/>
  <c r="H4" i="37"/>
  <c r="H9" i="37" l="1"/>
  <c r="H61" i="37"/>
  <c r="H66" i="37"/>
  <c r="H48" i="37"/>
  <c r="E69" i="37"/>
  <c r="H18" i="37"/>
  <c r="H43" i="37"/>
  <c r="H55" i="37"/>
  <c r="H37" i="37"/>
  <c r="H35" i="37"/>
  <c r="E51" i="37"/>
  <c r="E53" i="37" s="1"/>
  <c r="E57" i="37" s="1"/>
  <c r="E58" i="37" s="1"/>
  <c r="G51" i="37"/>
  <c r="G68" i="37"/>
  <c r="H68" i="37" s="1"/>
  <c r="G63" i="37"/>
  <c r="H63" i="37" s="1"/>
  <c r="G69" i="37" l="1"/>
  <c r="H69" i="37" s="1"/>
  <c r="H51" i="37"/>
  <c r="G53" i="37"/>
  <c r="H53" i="37" l="1"/>
  <c r="G57" i="37"/>
  <c r="H57" i="37" l="1"/>
  <c r="G58" i="37"/>
  <c r="H58" i="37" s="1"/>
  <c r="E13" i="28" l="1"/>
  <c r="E15" i="28"/>
  <c r="E18" i="28"/>
  <c r="E19" i="28"/>
  <c r="E20" i="28" s="1"/>
  <c r="E22" i="28" s="1"/>
  <c r="E28" i="28"/>
  <c r="E32" i="28"/>
  <c r="E33" i="28" s="1"/>
  <c r="E35" i="28"/>
  <c r="E36" i="28" s="1"/>
  <c r="E37" i="28"/>
  <c r="E38" i="28"/>
  <c r="E42" i="28"/>
  <c r="E57" i="28"/>
  <c r="D69" i="28"/>
  <c r="E70" i="28"/>
  <c r="E74" i="28"/>
  <c r="E78" i="28"/>
  <c r="E83" i="28"/>
  <c r="E91" i="28"/>
  <c r="E92" i="28" s="1"/>
  <c r="E93" i="28"/>
  <c r="E110" i="28"/>
  <c r="E96" i="28" l="1"/>
  <c r="E39" i="28"/>
  <c r="E40" i="28" s="1"/>
  <c r="E41" i="28" s="1"/>
  <c r="E52" i="28" s="1"/>
  <c r="E75" i="28"/>
  <c r="E43" i="28"/>
  <c r="E23" i="28"/>
  <c r="E46" i="28"/>
  <c r="E101" i="28"/>
  <c r="E76" i="28"/>
  <c r="G69" i="12"/>
  <c r="G97" i="12"/>
  <c r="G42" i="28"/>
  <c r="H49" i="36"/>
  <c r="H48" i="36"/>
  <c r="H47" i="36"/>
  <c r="H46" i="36"/>
  <c r="H31" i="36"/>
  <c r="H26" i="36"/>
  <c r="H19" i="36"/>
  <c r="H18" i="36"/>
  <c r="H16" i="36"/>
  <c r="H7" i="36"/>
  <c r="H6" i="36"/>
  <c r="H4" i="36"/>
  <c r="G49" i="36"/>
  <c r="G30" i="36"/>
  <c r="G27" i="36"/>
  <c r="G20" i="35"/>
  <c r="H27" i="35"/>
  <c r="H24" i="35"/>
  <c r="H8" i="35"/>
  <c r="H5" i="35"/>
  <c r="G26" i="35"/>
  <c r="G25" i="35"/>
  <c r="G28" i="35" s="1"/>
  <c r="G30" i="35" s="1"/>
  <c r="G33" i="35" s="1"/>
  <c r="G7" i="35"/>
  <c r="G6" i="35"/>
  <c r="G9" i="35" s="1"/>
  <c r="G11" i="35" s="1"/>
  <c r="G14" i="35" s="1"/>
  <c r="G116" i="12"/>
  <c r="G18" i="35" s="1"/>
  <c r="H131" i="12"/>
  <c r="H129" i="12"/>
  <c r="H128" i="12"/>
  <c r="H127" i="12"/>
  <c r="H121" i="12"/>
  <c r="H119" i="12"/>
  <c r="H117" i="12"/>
  <c r="H115" i="12"/>
  <c r="H114" i="12"/>
  <c r="H101" i="12"/>
  <c r="H90" i="12"/>
  <c r="H87" i="12"/>
  <c r="H82" i="12"/>
  <c r="H72" i="12"/>
  <c r="H64" i="12"/>
  <c r="H57" i="12"/>
  <c r="H54" i="12"/>
  <c r="H52" i="12"/>
  <c r="H51" i="12"/>
  <c r="H49" i="12"/>
  <c r="H48" i="12"/>
  <c r="H43" i="12"/>
  <c r="H42" i="12"/>
  <c r="H34" i="12"/>
  <c r="H33" i="12"/>
  <c r="H31" i="12"/>
  <c r="H27" i="12"/>
  <c r="H26" i="12"/>
  <c r="H21" i="12"/>
  <c r="H19" i="12"/>
  <c r="H17" i="12"/>
  <c r="H14" i="12"/>
  <c r="G130" i="12"/>
  <c r="G124" i="12"/>
  <c r="G125" i="12" s="1"/>
  <c r="G126" i="12" s="1"/>
  <c r="G120" i="12"/>
  <c r="G103" i="12"/>
  <c r="G86" i="12"/>
  <c r="G107" i="12" s="1"/>
  <c r="G65" i="12"/>
  <c r="G14" i="37" s="1"/>
  <c r="G55" i="12"/>
  <c r="G53" i="12"/>
  <c r="G56" i="12" s="1"/>
  <c r="G10" i="37" s="1"/>
  <c r="G50" i="12"/>
  <c r="G58" i="12" s="1"/>
  <c r="G45" i="12"/>
  <c r="G28" i="12"/>
  <c r="G41" i="12" s="1"/>
  <c r="G25" i="12"/>
  <c r="G22" i="12"/>
  <c r="G20" i="12"/>
  <c r="G18" i="12"/>
  <c r="G25" i="37" s="1"/>
  <c r="G16" i="12"/>
  <c r="G15" i="12"/>
  <c r="G88" i="12" s="1"/>
  <c r="G93" i="28"/>
  <c r="G91" i="28"/>
  <c r="G92" i="28" s="1"/>
  <c r="G96" i="28" s="1"/>
  <c r="G38" i="28"/>
  <c r="G35" i="28"/>
  <c r="G36" i="28" s="1"/>
  <c r="G28" i="28"/>
  <c r="H111" i="28"/>
  <c r="H108" i="28"/>
  <c r="H102" i="28"/>
  <c r="H95" i="28"/>
  <c r="H94" i="28"/>
  <c r="H88" i="28"/>
  <c r="H86" i="28"/>
  <c r="H82" i="28"/>
  <c r="H81" i="28"/>
  <c r="H73" i="28"/>
  <c r="H69" i="28"/>
  <c r="H68" i="28"/>
  <c r="H63" i="28"/>
  <c r="H58" i="28"/>
  <c r="H56" i="28"/>
  <c r="G110" i="28"/>
  <c r="G101" i="28"/>
  <c r="G83" i="28"/>
  <c r="G78" i="28"/>
  <c r="G76" i="28"/>
  <c r="G74" i="28"/>
  <c r="G70" i="28"/>
  <c r="E55" i="12"/>
  <c r="D54" i="12"/>
  <c r="E53" i="12"/>
  <c r="G21" i="37" l="1"/>
  <c r="G15" i="37"/>
  <c r="G11" i="37"/>
  <c r="G26" i="37"/>
  <c r="D53" i="12"/>
  <c r="D68" i="28"/>
  <c r="G70" i="12"/>
  <c r="G73" i="12" s="1"/>
  <c r="E55" i="28"/>
  <c r="E25" i="28"/>
  <c r="E26" i="28" s="1"/>
  <c r="E27" i="28"/>
  <c r="E45" i="28"/>
  <c r="E48" i="28" s="1"/>
  <c r="E49" i="28" s="1"/>
  <c r="E53" i="28" s="1"/>
  <c r="E54" i="28" s="1"/>
  <c r="G15" i="35"/>
  <c r="H55" i="12"/>
  <c r="G29" i="35"/>
  <c r="G32" i="35"/>
  <c r="G13" i="35"/>
  <c r="G34" i="35"/>
  <c r="G10" i="35"/>
  <c r="G4" i="35" s="1"/>
  <c r="G32" i="36"/>
  <c r="G17" i="35"/>
  <c r="G44" i="12"/>
  <c r="G110" i="12"/>
  <c r="G29" i="12"/>
  <c r="H53" i="12"/>
  <c r="G105" i="12"/>
  <c r="G36" i="12"/>
  <c r="G89" i="12"/>
  <c r="G102" i="12"/>
  <c r="G59" i="12"/>
  <c r="G85" i="28"/>
  <c r="G40" i="12"/>
  <c r="G46" i="12"/>
  <c r="G30" i="12"/>
  <c r="G122" i="12"/>
  <c r="G132" i="12"/>
  <c r="G32" i="12"/>
  <c r="G91" i="12"/>
  <c r="G75" i="28"/>
  <c r="G16" i="37" l="1"/>
  <c r="G22" i="37"/>
  <c r="G30" i="37"/>
  <c r="G19" i="37"/>
  <c r="G23" i="35"/>
  <c r="G19" i="35"/>
  <c r="G35" i="12"/>
  <c r="G74" i="12"/>
  <c r="G81" i="12" s="1"/>
  <c r="G111" i="12"/>
  <c r="G60" i="12"/>
  <c r="G37" i="12"/>
  <c r="G104" i="12"/>
  <c r="G109" i="12" s="1"/>
  <c r="G76" i="12"/>
  <c r="G23" i="12"/>
  <c r="G66" i="12"/>
  <c r="H74" i="28"/>
  <c r="G5" i="37" l="1"/>
  <c r="G7" i="37"/>
  <c r="G79" i="12"/>
  <c r="G108" i="12"/>
  <c r="G21" i="35"/>
  <c r="G67" i="12"/>
  <c r="G106" i="12"/>
  <c r="G112" i="12"/>
  <c r="G38" i="12"/>
  <c r="E45" i="12"/>
  <c r="H45" i="12" s="1"/>
  <c r="G16" i="35" l="1"/>
  <c r="G39" i="12"/>
  <c r="G68" i="12"/>
  <c r="G87" i="28" s="1"/>
  <c r="E25" i="12"/>
  <c r="H25" i="12" s="1"/>
  <c r="E50" i="12"/>
  <c r="H50" i="12" s="1"/>
  <c r="D72" i="12"/>
  <c r="E65" i="12"/>
  <c r="E14" i="37" s="1"/>
  <c r="E30" i="36"/>
  <c r="H30" i="36" s="1"/>
  <c r="H14" i="37" l="1"/>
  <c r="G3" i="35"/>
  <c r="G118" i="12" s="1"/>
  <c r="E91" i="12"/>
  <c r="H91" i="12" s="1"/>
  <c r="H65" i="12"/>
  <c r="G77" i="28"/>
  <c r="G79" i="28" s="1"/>
  <c r="G106" i="28" s="1"/>
  <c r="G99" i="28"/>
  <c r="G89" i="28"/>
  <c r="E116" i="12"/>
  <c r="E18" i="35" l="1"/>
  <c r="H18" i="35" s="1"/>
  <c r="H116" i="12"/>
  <c r="G107" i="28"/>
  <c r="G109" i="28" s="1"/>
  <c r="G100" i="28"/>
  <c r="G103" i="28" s="1"/>
  <c r="G80" i="28"/>
  <c r="G84" i="28" s="1"/>
  <c r="G90" i="28" s="1"/>
  <c r="G97" i="28" s="1"/>
  <c r="G98" i="28" s="1"/>
  <c r="G93" i="12" s="1"/>
  <c r="E20" i="35"/>
  <c r="H20" i="35" s="1"/>
  <c r="E25" i="35"/>
  <c r="E26" i="35"/>
  <c r="H26" i="35" s="1"/>
  <c r="E28" i="35" l="1"/>
  <c r="H25" i="35"/>
  <c r="G96" i="12"/>
  <c r="G112" i="28"/>
  <c r="E29" i="35"/>
  <c r="H29" i="35" s="1"/>
  <c r="E30" i="35" l="1"/>
  <c r="H28" i="35"/>
  <c r="G99" i="12"/>
  <c r="E33" i="35" l="1"/>
  <c r="H33" i="35" s="1"/>
  <c r="H30" i="35"/>
  <c r="E32" i="35"/>
  <c r="E34" i="35"/>
  <c r="H34" i="35" s="1"/>
  <c r="E27" i="36"/>
  <c r="B54" i="36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E49" i="36"/>
  <c r="B36" i="36"/>
  <c r="B37" i="36" s="1"/>
  <c r="B38" i="36" s="1"/>
  <c r="B39" i="36" s="1"/>
  <c r="B40" i="36" s="1"/>
  <c r="B41" i="36" s="1"/>
  <c r="B42" i="36" s="1"/>
  <c r="B43" i="36" s="1"/>
  <c r="E6" i="35"/>
  <c r="E7" i="35"/>
  <c r="H7" i="35" s="1"/>
  <c r="E120" i="12"/>
  <c r="E86" i="12"/>
  <c r="H86" i="12" s="1"/>
  <c r="D5" i="31"/>
  <c r="F5" i="31"/>
  <c r="H3" i="31"/>
  <c r="H5" i="31"/>
  <c r="H32" i="35" l="1"/>
  <c r="E23" i="35"/>
  <c r="E17" i="35"/>
  <c r="H17" i="35" s="1"/>
  <c r="H6" i="35"/>
  <c r="E32" i="36"/>
  <c r="H32" i="36" s="1"/>
  <c r="H27" i="36"/>
  <c r="D121" i="12"/>
  <c r="H120" i="12"/>
  <c r="E10" i="35"/>
  <c r="H10" i="35" s="1"/>
  <c r="E9" i="35"/>
  <c r="E69" i="12"/>
  <c r="H93" i="28"/>
  <c r="H91" i="28"/>
  <c r="E21" i="37" l="1"/>
  <c r="E15" i="37"/>
  <c r="D13" i="37"/>
  <c r="E7" i="37"/>
  <c r="E5" i="37"/>
  <c r="E11" i="35"/>
  <c r="H11" i="35" s="1"/>
  <c r="H9" i="35"/>
  <c r="H23" i="35"/>
  <c r="E15" i="35" l="1"/>
  <c r="H15" i="35" s="1"/>
  <c r="D7" i="37"/>
  <c r="H7" i="37"/>
  <c r="H15" i="37"/>
  <c r="E16" i="37"/>
  <c r="E13" i="35"/>
  <c r="H13" i="35" s="1"/>
  <c r="D5" i="37"/>
  <c r="H5" i="37"/>
  <c r="H21" i="37"/>
  <c r="E22" i="37"/>
  <c r="E14" i="35"/>
  <c r="H14" i="35" s="1"/>
  <c r="E4" i="35"/>
  <c r="H4" i="35" s="1"/>
  <c r="E130" i="12"/>
  <c r="H130" i="12" s="1"/>
  <c r="E124" i="12"/>
  <c r="E19" i="37" l="1"/>
  <c r="H16" i="37"/>
  <c r="H22" i="37"/>
  <c r="E125" i="12"/>
  <c r="H124" i="12"/>
  <c r="E132" i="12"/>
  <c r="H19" i="37" l="1"/>
  <c r="D132" i="12"/>
  <c r="H132" i="12"/>
  <c r="E126" i="12"/>
  <c r="H125" i="12"/>
  <c r="E105" i="12"/>
  <c r="H105" i="12" s="1"/>
  <c r="H126" i="12" l="1"/>
  <c r="D130" i="12"/>
  <c r="E122" i="12"/>
  <c r="E19" i="35"/>
  <c r="H19" i="35" s="1"/>
  <c r="F17" i="34"/>
  <c r="F18" i="34" s="1"/>
  <c r="F16" i="34"/>
  <c r="D16" i="34"/>
  <c r="F15" i="34"/>
  <c r="D15" i="34"/>
  <c r="B15" i="34"/>
  <c r="B16" i="34" s="1"/>
  <c r="F13" i="34"/>
  <c r="D13" i="34"/>
  <c r="D17" i="34" s="1"/>
  <c r="D18" i="34" s="1"/>
  <c r="B13" i="34"/>
  <c r="F11" i="34"/>
  <c r="F19" i="34" s="1"/>
  <c r="D11" i="34"/>
  <c r="B11" i="34"/>
  <c r="E74" i="12" l="1"/>
  <c r="D74" i="12" s="1"/>
  <c r="H122" i="12"/>
  <c r="E21" i="35"/>
  <c r="D19" i="34"/>
  <c r="B17" i="34"/>
  <c r="B18" i="34" s="1"/>
  <c r="B19" i="34" s="1"/>
  <c r="E20" i="34" s="1"/>
  <c r="E79" i="12" l="1"/>
  <c r="H79" i="12" s="1"/>
  <c r="E16" i="35"/>
  <c r="H21" i="35"/>
  <c r="E76" i="12"/>
  <c r="H74" i="12"/>
  <c r="E97" i="12"/>
  <c r="H97" i="12" s="1"/>
  <c r="E3" i="35" l="1"/>
  <c r="H16" i="35"/>
  <c r="D76" i="12"/>
  <c r="H76" i="12"/>
  <c r="E110" i="12"/>
  <c r="H110" i="12" s="1"/>
  <c r="E107" i="12"/>
  <c r="H107" i="12" s="1"/>
  <c r="H3" i="35" l="1"/>
  <c r="E118" i="12"/>
  <c r="D118" i="12" s="1"/>
  <c r="E70" i="12"/>
  <c r="H70" i="12" s="1"/>
  <c r="H118" i="12" l="1"/>
  <c r="E15" i="12"/>
  <c r="E16" i="12"/>
  <c r="H16" i="12" s="1"/>
  <c r="E20" i="12"/>
  <c r="H20" i="12" s="1"/>
  <c r="E18" i="12"/>
  <c r="H70" i="28"/>
  <c r="H18" i="12" l="1"/>
  <c r="E25" i="37"/>
  <c r="E88" i="12"/>
  <c r="H88" i="12" s="1"/>
  <c r="H15" i="12"/>
  <c r="E46" i="12"/>
  <c r="H46" i="12" s="1"/>
  <c r="H75" i="28"/>
  <c r="E81" i="12"/>
  <c r="H81" i="12" s="1"/>
  <c r="H38" i="28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B7" i="32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E6" i="32"/>
  <c r="H28" i="28"/>
  <c r="H110" i="28"/>
  <c r="H83" i="28"/>
  <c r="H78" i="28"/>
  <c r="H51" i="28"/>
  <c r="H50" i="28"/>
  <c r="H47" i="28"/>
  <c r="H44" i="28"/>
  <c r="H34" i="28"/>
  <c r="H31" i="28"/>
  <c r="H30" i="28"/>
  <c r="H29" i="28"/>
  <c r="H24" i="28"/>
  <c r="H21" i="28"/>
  <c r="G19" i="28"/>
  <c r="G37" i="28" s="1"/>
  <c r="G39" i="28" s="1"/>
  <c r="G18" i="28"/>
  <c r="H17" i="28"/>
  <c r="H16" i="28"/>
  <c r="G15" i="28"/>
  <c r="G57" i="28" s="1"/>
  <c r="H14" i="28"/>
  <c r="E26" i="37" l="1"/>
  <c r="H25" i="37"/>
  <c r="G61" i="12"/>
  <c r="G62" i="12" s="1"/>
  <c r="G40" i="28"/>
  <c r="G41" i="28" s="1"/>
  <c r="G52" i="28" s="1"/>
  <c r="G46" i="28"/>
  <c r="H13" i="28"/>
  <c r="H18" i="28"/>
  <c r="H101" i="28"/>
  <c r="H32" i="28"/>
  <c r="H35" i="28"/>
  <c r="H15" i="28"/>
  <c r="H19" i="28"/>
  <c r="H57" i="28"/>
  <c r="G20" i="28"/>
  <c r="H42" i="28"/>
  <c r="E30" i="37" l="1"/>
  <c r="H30" i="37" s="1"/>
  <c r="H26" i="37"/>
  <c r="H46" i="28"/>
  <c r="H39" i="28"/>
  <c r="H96" i="28"/>
  <c r="H92" i="28"/>
  <c r="E61" i="12"/>
  <c r="H61" i="12" s="1"/>
  <c r="H36" i="28"/>
  <c r="H33" i="28"/>
  <c r="H76" i="28"/>
  <c r="G22" i="28"/>
  <c r="G43" i="28" s="1"/>
  <c r="H20" i="28"/>
  <c r="H37" i="28"/>
  <c r="E45" i="36"/>
  <c r="E28" i="36" s="1"/>
  <c r="G45" i="28" l="1"/>
  <c r="G48" i="28" s="1"/>
  <c r="G49" i="28" s="1"/>
  <c r="G53" i="28" s="1"/>
  <c r="G54" i="28" s="1"/>
  <c r="G27" i="28"/>
  <c r="E50" i="36"/>
  <c r="D53" i="36"/>
  <c r="G53" i="36" s="1"/>
  <c r="E29" i="36"/>
  <c r="H43" i="28"/>
  <c r="G23" i="28"/>
  <c r="H22" i="28"/>
  <c r="G45" i="36" l="1"/>
  <c r="G55" i="28"/>
  <c r="G71" i="12" s="1"/>
  <c r="G62" i="28"/>
  <c r="F62" i="28"/>
  <c r="E17" i="36"/>
  <c r="D35" i="36"/>
  <c r="D54" i="36"/>
  <c r="G54" i="36" s="1"/>
  <c r="E53" i="36"/>
  <c r="H53" i="36" s="1"/>
  <c r="H27" i="28"/>
  <c r="H45" i="28"/>
  <c r="H40" i="28"/>
  <c r="G25" i="28"/>
  <c r="H23" i="28"/>
  <c r="D62" i="28" l="1"/>
  <c r="E62" i="28"/>
  <c r="G92" i="12"/>
  <c r="G94" i="12" s="1"/>
  <c r="G95" i="12" s="1"/>
  <c r="G77" i="12"/>
  <c r="H55" i="28"/>
  <c r="G50" i="36"/>
  <c r="H50" i="36" s="1"/>
  <c r="H45" i="36"/>
  <c r="G29" i="36"/>
  <c r="G28" i="36"/>
  <c r="H28" i="36" s="1"/>
  <c r="D36" i="36"/>
  <c r="G35" i="36"/>
  <c r="H62" i="28"/>
  <c r="E35" i="36"/>
  <c r="E20" i="36"/>
  <c r="E5" i="36"/>
  <c r="E21" i="36"/>
  <c r="D55" i="36"/>
  <c r="G55" i="36" s="1"/>
  <c r="E54" i="36"/>
  <c r="H54" i="36" s="1"/>
  <c r="H48" i="28"/>
  <c r="H25" i="28"/>
  <c r="G26" i="28"/>
  <c r="H26" i="28" s="1"/>
  <c r="H41" i="28"/>
  <c r="G17" i="36" l="1"/>
  <c r="H29" i="36"/>
  <c r="G80" i="12"/>
  <c r="G78" i="12"/>
  <c r="H35" i="36"/>
  <c r="D37" i="36"/>
  <c r="G36" i="36"/>
  <c r="E22" i="36"/>
  <c r="E9" i="36"/>
  <c r="E8" i="36"/>
  <c r="E55" i="36"/>
  <c r="H55" i="36" s="1"/>
  <c r="D56" i="36"/>
  <c r="G56" i="36" s="1"/>
  <c r="E36" i="36"/>
  <c r="H52" i="28"/>
  <c r="H49" i="28"/>
  <c r="H54" i="28"/>
  <c r="G23" i="37" l="1"/>
  <c r="G20" i="37"/>
  <c r="G65" i="28"/>
  <c r="G113" i="28"/>
  <c r="G20" i="36"/>
  <c r="G5" i="36"/>
  <c r="G21" i="36"/>
  <c r="H17" i="36"/>
  <c r="E10" i="36"/>
  <c r="E24" i="36"/>
  <c r="H36" i="36"/>
  <c r="D38" i="36"/>
  <c r="E38" i="36" s="1"/>
  <c r="G37" i="36"/>
  <c r="E37" i="36"/>
  <c r="E56" i="36"/>
  <c r="H56" i="36" s="1"/>
  <c r="D57" i="36"/>
  <c r="G57" i="36" s="1"/>
  <c r="H53" i="28"/>
  <c r="G31" i="37" l="1"/>
  <c r="H21" i="36"/>
  <c r="G8" i="36"/>
  <c r="G9" i="36"/>
  <c r="H5" i="36"/>
  <c r="G83" i="12"/>
  <c r="G114" i="28"/>
  <c r="E13" i="36"/>
  <c r="E14" i="36"/>
  <c r="G22" i="36"/>
  <c r="H20" i="36"/>
  <c r="D39" i="36"/>
  <c r="G38" i="36"/>
  <c r="H38" i="36" s="1"/>
  <c r="E12" i="36"/>
  <c r="H37" i="36"/>
  <c r="E15" i="36"/>
  <c r="D58" i="36"/>
  <c r="G58" i="36" s="1"/>
  <c r="E57" i="36"/>
  <c r="H57" i="36" s="1"/>
  <c r="G39" i="37" l="1"/>
  <c r="G40" i="37" s="1"/>
  <c r="G44" i="37" s="1"/>
  <c r="G32" i="37"/>
  <c r="G49" i="37"/>
  <c r="E3" i="36"/>
  <c r="H9" i="36"/>
  <c r="G24" i="36"/>
  <c r="H22" i="36"/>
  <c r="G10" i="36"/>
  <c r="H8" i="36"/>
  <c r="D40" i="36"/>
  <c r="G39" i="36"/>
  <c r="E39" i="36"/>
  <c r="D59" i="36"/>
  <c r="G59" i="36" s="1"/>
  <c r="E58" i="36"/>
  <c r="H58" i="36" s="1"/>
  <c r="G34" i="37" l="1"/>
  <c r="G70" i="37"/>
  <c r="G14" i="36"/>
  <c r="H14" i="36" s="1"/>
  <c r="G13" i="36"/>
  <c r="H13" i="36" s="1"/>
  <c r="G12" i="36"/>
  <c r="H10" i="36"/>
  <c r="G15" i="36"/>
  <c r="H15" i="36" s="1"/>
  <c r="H24" i="36"/>
  <c r="D41" i="36"/>
  <c r="G40" i="36"/>
  <c r="E40" i="36"/>
  <c r="H39" i="36"/>
  <c r="E59" i="36"/>
  <c r="H59" i="36" s="1"/>
  <c r="D60" i="36"/>
  <c r="G60" i="36" s="1"/>
  <c r="G71" i="37" l="1"/>
  <c r="H12" i="36"/>
  <c r="G3" i="36"/>
  <c r="H3" i="36" s="1"/>
  <c r="H40" i="36"/>
  <c r="D42" i="36"/>
  <c r="G41" i="36"/>
  <c r="E41" i="36"/>
  <c r="E60" i="36"/>
  <c r="H60" i="36" s="1"/>
  <c r="D61" i="36"/>
  <c r="G61" i="36" s="1"/>
  <c r="G72" i="37" l="1"/>
  <c r="D43" i="36"/>
  <c r="G42" i="36"/>
  <c r="E42" i="36"/>
  <c r="H41" i="36"/>
  <c r="D62" i="36"/>
  <c r="G62" i="36" s="1"/>
  <c r="E61" i="36"/>
  <c r="H61" i="36" s="1"/>
  <c r="H42" i="36" l="1"/>
  <c r="G43" i="36"/>
  <c r="E43" i="36"/>
  <c r="E25" i="36" s="1"/>
  <c r="D63" i="36"/>
  <c r="G63" i="36" s="1"/>
  <c r="E62" i="36"/>
  <c r="H62" i="36" s="1"/>
  <c r="H43" i="36" l="1"/>
  <c r="G25" i="36"/>
  <c r="E63" i="36"/>
  <c r="H63" i="36" s="1"/>
  <c r="D64" i="36"/>
  <c r="G64" i="36" s="1"/>
  <c r="H25" i="36" l="1"/>
  <c r="E64" i="36"/>
  <c r="H64" i="36" s="1"/>
  <c r="D65" i="36"/>
  <c r="G65" i="36" s="1"/>
  <c r="D66" i="36" l="1"/>
  <c r="G66" i="36" s="1"/>
  <c r="E65" i="36"/>
  <c r="H65" i="36" s="1"/>
  <c r="D67" i="36" l="1"/>
  <c r="G67" i="36" s="1"/>
  <c r="E66" i="36"/>
  <c r="H66" i="36" s="1"/>
  <c r="E67" i="36" l="1"/>
  <c r="H67" i="36" s="1"/>
  <c r="D68" i="36"/>
  <c r="G68" i="36" s="1"/>
  <c r="E103" i="12"/>
  <c r="H103" i="12" s="1"/>
  <c r="D69" i="36" l="1"/>
  <c r="G69" i="36" s="1"/>
  <c r="E68" i="36"/>
  <c r="H68" i="36" s="1"/>
  <c r="E32" i="12"/>
  <c r="H32" i="12" s="1"/>
  <c r="D70" i="36" l="1"/>
  <c r="E69" i="36"/>
  <c r="H69" i="36" s="1"/>
  <c r="E28" i="12"/>
  <c r="H28" i="12" s="1"/>
  <c r="E70" i="36" l="1"/>
  <c r="G70" i="36"/>
  <c r="E41" i="12"/>
  <c r="E40" i="12"/>
  <c r="E44" i="36"/>
  <c r="E36" i="12"/>
  <c r="E30" i="12"/>
  <c r="H30" i="12" s="1"/>
  <c r="E29" i="12"/>
  <c r="H29" i="12" s="1"/>
  <c r="E44" i="12"/>
  <c r="H44" i="12" s="1"/>
  <c r="H70" i="36" l="1"/>
  <c r="G44" i="36"/>
  <c r="E2" i="36"/>
  <c r="E59" i="28" s="1"/>
  <c r="E60" i="28" s="1"/>
  <c r="E64" i="28" s="1"/>
  <c r="E37" i="12"/>
  <c r="H37" i="12" s="1"/>
  <c r="H36" i="12"/>
  <c r="D40" i="12"/>
  <c r="H40" i="12"/>
  <c r="D41" i="12"/>
  <c r="H41" i="12"/>
  <c r="E56" i="12"/>
  <c r="H56" i="12" l="1"/>
  <c r="E10" i="37"/>
  <c r="H44" i="36"/>
  <c r="G2" i="36"/>
  <c r="G59" i="28" s="1"/>
  <c r="E102" i="12"/>
  <c r="E11" i="37" l="1"/>
  <c r="H10" i="37"/>
  <c r="H2" i="36"/>
  <c r="G60" i="28" s="1"/>
  <c r="G64" i="28" s="1"/>
  <c r="H59" i="28"/>
  <c r="E23" i="12"/>
  <c r="H23" i="12" s="1"/>
  <c r="H102" i="12"/>
  <c r="E66" i="12"/>
  <c r="D11" i="37" l="1"/>
  <c r="H11" i="37"/>
  <c r="H60" i="28"/>
  <c r="E67" i="12"/>
  <c r="H67" i="12" s="1"/>
  <c r="H66" i="12"/>
  <c r="E71" i="12" l="1"/>
  <c r="E68" i="12"/>
  <c r="H68" i="12" s="1"/>
  <c r="D71" i="12" l="1"/>
  <c r="H71" i="12"/>
  <c r="E77" i="12"/>
  <c r="E92" i="12"/>
  <c r="H92" i="12" s="1"/>
  <c r="E78" i="12" l="1"/>
  <c r="H77" i="12"/>
  <c r="E104" i="12"/>
  <c r="H104" i="12" s="1"/>
  <c r="H78" i="12" l="1"/>
  <c r="D78" i="12"/>
  <c r="E108" i="12"/>
  <c r="E106" i="12"/>
  <c r="E112" i="12"/>
  <c r="H112" i="12" l="1"/>
  <c r="D112" i="12"/>
  <c r="D106" i="12"/>
  <c r="H106" i="12"/>
  <c r="D108" i="12"/>
  <c r="H108" i="12"/>
  <c r="E80" i="12"/>
  <c r="E23" i="37" l="1"/>
  <c r="E20" i="37"/>
  <c r="H80" i="12"/>
  <c r="E113" i="28"/>
  <c r="H113" i="28" s="1"/>
  <c r="E65" i="28"/>
  <c r="E66" i="28" s="1"/>
  <c r="H23" i="37" l="1"/>
  <c r="E31" i="37"/>
  <c r="E49" i="37" s="1"/>
  <c r="D49" i="37" s="1"/>
  <c r="H20" i="37"/>
  <c r="H65" i="28"/>
  <c r="E39" i="37" l="1"/>
  <c r="E32" i="37"/>
  <c r="H31" i="37"/>
  <c r="E58" i="12"/>
  <c r="E85" i="28" s="1"/>
  <c r="E87" i="28" s="1"/>
  <c r="E34" i="37" l="1"/>
  <c r="H34" i="37" s="1"/>
  <c r="H32" i="37"/>
  <c r="E70" i="37"/>
  <c r="E40" i="37"/>
  <c r="H39" i="37"/>
  <c r="D43" i="37"/>
  <c r="H49" i="37"/>
  <c r="E99" i="28"/>
  <c r="E89" i="28"/>
  <c r="E77" i="28"/>
  <c r="E79" i="28" s="1"/>
  <c r="E80" i="28" s="1"/>
  <c r="E84" i="28" s="1"/>
  <c r="E62" i="12"/>
  <c r="H62" i="12" s="1"/>
  <c r="H58" i="12"/>
  <c r="E73" i="12"/>
  <c r="E44" i="37" l="1"/>
  <c r="H44" i="37" s="1"/>
  <c r="H40" i="37"/>
  <c r="E90" i="28"/>
  <c r="E97" i="28" s="1"/>
  <c r="E98" i="28" s="1"/>
  <c r="E71" i="37"/>
  <c r="H70" i="37"/>
  <c r="D44" i="37"/>
  <c r="E100" i="28"/>
  <c r="E103" i="28" s="1"/>
  <c r="E112" i="28" s="1"/>
  <c r="E114" i="28" s="1"/>
  <c r="E115" i="28" s="1"/>
  <c r="E116" i="28" s="1"/>
  <c r="E107" i="28"/>
  <c r="E109" i="28" s="1"/>
  <c r="D73" i="12"/>
  <c r="D77" i="12" s="1"/>
  <c r="H73" i="12"/>
  <c r="H87" i="28"/>
  <c r="H85" i="28"/>
  <c r="E22" i="12"/>
  <c r="H22" i="12" s="1"/>
  <c r="H71" i="37" l="1"/>
  <c r="E72" i="37"/>
  <c r="H72" i="37" s="1"/>
  <c r="H79" i="28"/>
  <c r="H89" i="28"/>
  <c r="H99" i="28"/>
  <c r="E59" i="12"/>
  <c r="H77" i="28" l="1"/>
  <c r="H103" i="28"/>
  <c r="F106" i="28"/>
  <c r="H109" i="28"/>
  <c r="E60" i="12"/>
  <c r="H60" i="12" s="1"/>
  <c r="H59" i="12"/>
  <c r="G84" i="12"/>
  <c r="E83" i="12" l="1"/>
  <c r="H83" i="12" s="1"/>
  <c r="D106" i="28"/>
  <c r="E106" i="28"/>
  <c r="H100" i="28"/>
  <c r="H80" i="28"/>
  <c r="H107" i="28"/>
  <c r="H106" i="28"/>
  <c r="E96" i="12"/>
  <c r="H96" i="12" s="1"/>
  <c r="H112" i="28"/>
  <c r="H84" i="28"/>
  <c r="E84" i="12" l="1"/>
  <c r="D84" i="12" s="1"/>
  <c r="E99" i="12"/>
  <c r="D99" i="12" s="1"/>
  <c r="H90" i="28"/>
  <c r="E35" i="12"/>
  <c r="H84" i="12" l="1"/>
  <c r="H99" i="12"/>
  <c r="E38" i="12"/>
  <c r="H38" i="12" s="1"/>
  <c r="H35" i="12"/>
  <c r="H97" i="28"/>
  <c r="H114" i="28"/>
  <c r="E39" i="12" l="1"/>
  <c r="D39" i="12" s="1"/>
  <c r="H39" i="12"/>
  <c r="E93" i="12"/>
  <c r="H98" i="28"/>
  <c r="E89" i="12"/>
  <c r="H89" i="12" s="1"/>
  <c r="E94" i="12" l="1"/>
  <c r="H94" i="12" s="1"/>
  <c r="H93" i="12"/>
  <c r="E111" i="12"/>
  <c r="E109" i="12"/>
  <c r="H109" i="12" s="1"/>
  <c r="H111" i="12" l="1"/>
  <c r="E95" i="12"/>
  <c r="D95" i="12" l="1"/>
  <c r="H95" i="12"/>
  <c r="G66" i="28" l="1"/>
  <c r="H64" i="28"/>
  <c r="H66" i="28" l="1"/>
  <c r="G115" i="28"/>
  <c r="G116" i="28" l="1"/>
  <c r="H116" i="28" s="1"/>
  <c r="H115" i="28"/>
</calcChain>
</file>

<file path=xl/sharedStrings.xml><?xml version="1.0" encoding="utf-8"?>
<sst xmlns="http://schemas.openxmlformats.org/spreadsheetml/2006/main" count="1060" uniqueCount="577">
  <si>
    <t>m3/d</t>
  </si>
  <si>
    <t>Lps</t>
  </si>
  <si>
    <t>Ciclo de Operación</t>
  </si>
  <si>
    <t>V</t>
  </si>
  <si>
    <t>m3</t>
  </si>
  <si>
    <t>m2</t>
  </si>
  <si>
    <t>m</t>
  </si>
  <si>
    <t>Borde Libre</t>
  </si>
  <si>
    <t>mg/L</t>
  </si>
  <si>
    <t>Temperatura</t>
  </si>
  <si>
    <t>horas</t>
  </si>
  <si>
    <t>Kg/d</t>
  </si>
  <si>
    <t>Kg/dia</t>
  </si>
  <si>
    <t>Kg/m3</t>
  </si>
  <si>
    <t>m3/Hr</t>
  </si>
  <si>
    <t>pg</t>
  </si>
  <si>
    <t>m/s</t>
  </si>
  <si>
    <t>oC</t>
  </si>
  <si>
    <t>Altitud</t>
  </si>
  <si>
    <t>msnm</t>
  </si>
  <si>
    <t>Cst</t>
  </si>
  <si>
    <t>Presion a Nivel del Mar</t>
  </si>
  <si>
    <t>P</t>
  </si>
  <si>
    <t>kPa</t>
  </si>
  <si>
    <t>Factor de Presión</t>
  </si>
  <si>
    <t>Presión en el Sitio</t>
  </si>
  <si>
    <t>Cabeza de Presión en Soplador</t>
  </si>
  <si>
    <t>Eficiencia del Soplador</t>
  </si>
  <si>
    <t>Densidad del Aire</t>
  </si>
  <si>
    <t>γ</t>
  </si>
  <si>
    <t>kg/m3</t>
  </si>
  <si>
    <t>Pw</t>
  </si>
  <si>
    <t>Kw</t>
  </si>
  <si>
    <t>días</t>
  </si>
  <si>
    <t>u</t>
  </si>
  <si>
    <t>m3/h</t>
  </si>
  <si>
    <t>No de Sopladores</t>
  </si>
  <si>
    <t>Profundidad del Tanque Lleno</t>
  </si>
  <si>
    <t xml:space="preserve">Tiempo de Retención Hidráulica </t>
  </si>
  <si>
    <t>min</t>
  </si>
  <si>
    <t xml:space="preserve">Eficiencia Remoción de Nitrogeno Amoniacal </t>
  </si>
  <si>
    <t>Carga de NH4  afluente</t>
  </si>
  <si>
    <t>Kg NH4/día</t>
  </si>
  <si>
    <t>Carga de NH4  removida</t>
  </si>
  <si>
    <t>kgNH4/día</t>
  </si>
  <si>
    <t>L/s</t>
  </si>
  <si>
    <t xml:space="preserve">m </t>
  </si>
  <si>
    <t>mm</t>
  </si>
  <si>
    <t>mm2</t>
  </si>
  <si>
    <t>Caudal</t>
  </si>
  <si>
    <t>Q</t>
  </si>
  <si>
    <t>cm</t>
  </si>
  <si>
    <t>Kg O2/h</t>
  </si>
  <si>
    <t>Diferencia de Altura</t>
  </si>
  <si>
    <t>Eficiencia de Bombeo</t>
  </si>
  <si>
    <t>m2/m3</t>
  </si>
  <si>
    <t>Carga de DBO Afluente</t>
  </si>
  <si>
    <t>Eficiencia Remoción de DBO</t>
  </si>
  <si>
    <t>Concentración de Nitrogeno Amoniacal Afluente</t>
  </si>
  <si>
    <t>Concentración de Nitrogeno Amoniacal Efluente</t>
  </si>
  <si>
    <t>Edad de Lodos</t>
  </si>
  <si>
    <t>Kd</t>
  </si>
  <si>
    <t>GPM</t>
  </si>
  <si>
    <t>m/d</t>
  </si>
  <si>
    <t>Largo</t>
  </si>
  <si>
    <t>Cd</t>
  </si>
  <si>
    <t>Cl</t>
  </si>
  <si>
    <t>N</t>
  </si>
  <si>
    <t>Pt</t>
  </si>
  <si>
    <t>Tasa de Consumo de Oxígeno por Kg de Carga Nitrogenada</t>
  </si>
  <si>
    <t>Area en Planta</t>
  </si>
  <si>
    <t>No de Ciclos Diarios</t>
  </si>
  <si>
    <t>ciclos</t>
  </si>
  <si>
    <t>Volumen de Tanque</t>
  </si>
  <si>
    <t>gr/m3</t>
  </si>
  <si>
    <t>Perdidas en Tuberías</t>
  </si>
  <si>
    <t>Caudal de Aire</t>
  </si>
  <si>
    <t>Altura Total del Tanque</t>
  </si>
  <si>
    <t>Soplador</t>
  </si>
  <si>
    <t>un</t>
  </si>
  <si>
    <t>Cabeza de Velocidad en Orificios</t>
  </si>
  <si>
    <t>Cabeza de Velocidad</t>
  </si>
  <si>
    <t>Tiempo de Salida de Lodos</t>
  </si>
  <si>
    <t>Indicadores de Control</t>
  </si>
  <si>
    <t>Velocidad  en Chorros</t>
  </si>
  <si>
    <t>hv</t>
  </si>
  <si>
    <t>No de Chorros</t>
  </si>
  <si>
    <t>Diámetro de Orificio</t>
  </si>
  <si>
    <t>Area de Flujo por Perforación</t>
  </si>
  <si>
    <t>Coeficiente de Descarga</t>
  </si>
  <si>
    <t>Caudal por Parrilla</t>
  </si>
  <si>
    <t>T°C</t>
  </si>
  <si>
    <t>Factor de Corrección de Transferencia de O2 para Aguas Residuales</t>
  </si>
  <si>
    <t xml:space="preserve"> α</t>
  </si>
  <si>
    <t>β</t>
  </si>
  <si>
    <t xml:space="preserve">Cabeza de Velocidad </t>
  </si>
  <si>
    <t>Accesorios</t>
  </si>
  <si>
    <t>Profundidad de Bioportadores en Tanque</t>
  </si>
  <si>
    <t>Area de Biopelícula  Disponible</t>
  </si>
  <si>
    <t>g NH4/m2xdía</t>
  </si>
  <si>
    <t>Tasa de Nitrificación Total  Disponible</t>
  </si>
  <si>
    <t>Tasa de Nitrificación Requerida</t>
  </si>
  <si>
    <t>gr DBO/m2*día</t>
  </si>
  <si>
    <t>Volumen de Bioportadores en Reactor Secuencial</t>
  </si>
  <si>
    <t>Concentración DBO Afluente</t>
  </si>
  <si>
    <t>Caudal a Tratar</t>
  </si>
  <si>
    <t>Variables Principales de Entrada</t>
  </si>
  <si>
    <t>Area de Biopelícula por m3</t>
  </si>
  <si>
    <t>Tasa de Remoción de Nitrógeno SARR (Surface Area Remove Rate)</t>
  </si>
  <si>
    <t>Concentración de Oxígeno Disuelto</t>
  </si>
  <si>
    <t xml:space="preserve">Ancho  </t>
  </si>
  <si>
    <t>1/8"</t>
  </si>
  <si>
    <t xml:space="preserve">Area en Planta </t>
  </si>
  <si>
    <t>Carga Superficial</t>
  </si>
  <si>
    <t>Profundidad Máxima del Flujo</t>
  </si>
  <si>
    <t>Profundidad de Zona de Procesos Anaeróbicos</t>
  </si>
  <si>
    <t>Volúmen de Almacenamiento Regulador</t>
  </si>
  <si>
    <t>Proporción del Volumen Diario</t>
  </si>
  <si>
    <t>Deposito de Sedimentos</t>
  </si>
  <si>
    <t>Altura de Bioportadores para Remoción Anaeróbica de Carbono</t>
  </si>
  <si>
    <t>Volumen de Bioportadores del Tanque Anaeróbico</t>
  </si>
  <si>
    <t>Volumen Zona de Digestión Anaeróbica</t>
  </si>
  <si>
    <t>Variación en Niveles en Tanque Anaeróbico</t>
  </si>
  <si>
    <t>Altura Media para Almacenamiento Regulador</t>
  </si>
  <si>
    <t>Chorros por Ramal</t>
  </si>
  <si>
    <t>No de Ramales</t>
  </si>
  <si>
    <t>Tipo de Difusores</t>
  </si>
  <si>
    <t>Tiempo Sobrante</t>
  </si>
  <si>
    <t>Concentración de Saturación de O2  para 20 °C a nivel del mar</t>
  </si>
  <si>
    <t>Potencia Hidráulica por Chorro</t>
  </si>
  <si>
    <t>Ph</t>
  </si>
  <si>
    <t>Longitud del Chorro</t>
  </si>
  <si>
    <t>Eficiencia Energética del Chorro en Condiciones Estándar</t>
  </si>
  <si>
    <t>SOTE</t>
  </si>
  <si>
    <t xml:space="preserve">Factor de Correcciòn por Salinidad y Tensión Superficial </t>
  </si>
  <si>
    <t xml:space="preserve">Factor Tranferencia de O2 en Condiciones Reales </t>
  </si>
  <si>
    <t>AOTR</t>
  </si>
  <si>
    <t>KgO2/hora</t>
  </si>
  <si>
    <t>Caudal por Chorro</t>
  </si>
  <si>
    <t>Diametro de Tubería de Entrada</t>
  </si>
  <si>
    <t>Velocidad en Tubería de Entrada</t>
  </si>
  <si>
    <t>Potencia Hidráulica por Parrilla</t>
  </si>
  <si>
    <t xml:space="preserve">Concentración de OD a la salida </t>
  </si>
  <si>
    <t>Clasificación de la Información</t>
  </si>
  <si>
    <t>n</t>
  </si>
  <si>
    <t>SOTRc</t>
  </si>
  <si>
    <t>Parámetros de Diseño Asumidos</t>
  </si>
  <si>
    <t>Parámetros y Datos de Diseño Calculados</t>
  </si>
  <si>
    <t>Fuente</t>
  </si>
  <si>
    <t>Calculo Alterno</t>
  </si>
  <si>
    <t>Diferencia</t>
  </si>
  <si>
    <t xml:space="preserve">Penetración de las Burbujas Calculada </t>
  </si>
  <si>
    <t>Hc</t>
  </si>
  <si>
    <t>Salinidad del Agua</t>
  </si>
  <si>
    <t>gr/L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</si>
  <si>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</si>
  <si>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</si>
  <si>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</si>
  <si>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</si>
  <si>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>Profundidad de la Aireación</t>
  </si>
  <si>
    <t>Concentración de Saturación de O2 en el Terreno</t>
  </si>
  <si>
    <t>Cs20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</si>
  <si>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</si>
  <si>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>Factor de Mayoración por Efecto de Bioportadores</t>
  </si>
  <si>
    <t>FMB</t>
  </si>
  <si>
    <t>Eficiencia Energética del Chorro en Condiciones Estándar  en Tanque con Bioportadores</t>
  </si>
  <si>
    <t xml:space="preserve">Transferencia de O2  en Condiciones Estandar por Chorro en Tanque con Bioportadores </t>
  </si>
  <si>
    <t>Tiempo Disponible para el Ciclo</t>
  </si>
  <si>
    <t>Tipo de Coagulante</t>
  </si>
  <si>
    <t>m/h</t>
  </si>
  <si>
    <t xml:space="preserve">Parámetros  tomados de la Literatura Científica o Técnica </t>
  </si>
  <si>
    <t>Resultados Finales e Indicadores de Desempeño</t>
  </si>
  <si>
    <t>Otros Cálculos</t>
  </si>
  <si>
    <t>Variable de Ajuste</t>
  </si>
  <si>
    <t>No de Parrillas de Aireación Especificado</t>
  </si>
  <si>
    <t>Profundidad de la Zona de Aireación</t>
  </si>
  <si>
    <t xml:space="preserve">Altura de la Capa de Bioportadores                                                     </t>
  </si>
  <si>
    <t>Hb</t>
  </si>
  <si>
    <t>Ha</t>
  </si>
  <si>
    <t xml:space="preserve">Tasa de Transferencia de Oxígeno por Aireación por Chorros </t>
  </si>
  <si>
    <t>Caudal Total de Chorros Emergidos</t>
  </si>
  <si>
    <t>No de Bombas</t>
  </si>
  <si>
    <t xml:space="preserve">Pérdidas en Tubería </t>
  </si>
  <si>
    <t>Total Cabeza de Bombeo</t>
  </si>
  <si>
    <t>Tiempo de Funcionamiento de Chorros Emergidos por Día</t>
  </si>
  <si>
    <t>Consumo Diario de Energía por Aireación con Chorros Emergidos</t>
  </si>
  <si>
    <t>Kw-h /año</t>
  </si>
  <si>
    <r>
      <t xml:space="preserve">Disco </t>
    </r>
    <r>
      <rPr>
        <sz val="11"/>
        <color theme="1"/>
        <rFont val="Calibri"/>
        <family val="2"/>
      </rPr>
      <t>Ø</t>
    </r>
    <r>
      <rPr>
        <sz val="11"/>
        <color theme="1"/>
        <rFont val="Arial"/>
        <family val="2"/>
      </rPr>
      <t xml:space="preserve"> 65 mm</t>
    </r>
  </si>
  <si>
    <t>18-25</t>
  </si>
  <si>
    <t>Presión del Aire a la Altitud del Sitio</t>
  </si>
  <si>
    <t>m.c.a.</t>
  </si>
  <si>
    <t>Presión del Aire a Nivel del Mar</t>
  </si>
  <si>
    <t xml:space="preserve">Caudal de Aire a la Presión del Sitio </t>
  </si>
  <si>
    <t xml:space="preserve">Caudal de Aire a la Presión de Nivel del Mar </t>
  </si>
  <si>
    <t>Densidad del Aire al Nivel del Mar</t>
  </si>
  <si>
    <t>Porcentajede Oxígeno al Nivel del Mar</t>
  </si>
  <si>
    <t>Contenido de Oxígeno al Nivel del Mar</t>
  </si>
  <si>
    <t>Tasa de Flujo de Oxígeno Total en Condiciones Standard</t>
  </si>
  <si>
    <t>Tasa de Transferencia de O2 en Condiciones Standard</t>
  </si>
  <si>
    <t>Factor Tranferencia de O2 en Condiciones Reales</t>
  </si>
  <si>
    <t>Tasa de Transferencia de O2 en el Sitio por Burbujas</t>
  </si>
  <si>
    <t>gr/min</t>
  </si>
  <si>
    <t>Información del Fabricante</t>
  </si>
  <si>
    <t xml:space="preserve">Potencia Total de Sopladores </t>
  </si>
  <si>
    <t>Altura de Presión</t>
  </si>
  <si>
    <t>Total Cabeza de Presión</t>
  </si>
  <si>
    <t>Consumo Diario de Energía por Sopladores</t>
  </si>
  <si>
    <t xml:space="preserve">Consumo Total de Energía por Aireación </t>
  </si>
  <si>
    <t>Consumo de Energía Específico (por m3 de agua)</t>
  </si>
  <si>
    <t>kW-h/m3</t>
  </si>
  <si>
    <t>Tabla C-1. Valores Máximos de la Tasa de Remoción de Nitrógeno y de Carga Orgánica Superficial en Función del Oxígeno Disuelto</t>
  </si>
  <si>
    <t>SARR máximo</t>
  </si>
  <si>
    <t>SALR orgánica máxima</t>
  </si>
  <si>
    <r>
      <t>grNH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</si>
  <si>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r>
      <t>grDBO</t>
    </r>
    <r>
      <rPr>
        <vertAlign val="sub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</si>
  <si>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t>No aplica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</si>
  <si>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</si>
  <si>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</si>
  <si>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</si>
  <si>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</si>
  <si>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</si>
  <si>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</si>
  <si>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</si>
  <si>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</si>
  <si>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</si>
  <si>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</si>
  <si>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</si>
  <si>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gr/ciclo</t>
  </si>
  <si>
    <t>Cálculo del Oxígeno</t>
  </si>
  <si>
    <t>Cantidad de Oxígeno Requerida por Ciclo</t>
  </si>
  <si>
    <t xml:space="preserve">Cantidad de Oxígeno suministrada por Chorros </t>
  </si>
  <si>
    <t xml:space="preserve">Cantidad de Oxígeno suministrada por Difusores </t>
  </si>
  <si>
    <t>Cantidad de Oxígeno Sobrante por Ciclo</t>
  </si>
  <si>
    <t>Presión del Aire a la Profundidad de Aireación</t>
  </si>
  <si>
    <t>Altura de los Difusores sobre el Fondo</t>
  </si>
  <si>
    <t xml:space="preserve">Cantidad Total de Oxígeno suministrada </t>
  </si>
  <si>
    <t xml:space="preserve">Eficiencia de Transferencia de Oxígeno del Difusor </t>
  </si>
  <si>
    <t>Caudal Total de Aire en Condiciones de Terreno</t>
  </si>
  <si>
    <t>No Total de Difusores</t>
  </si>
  <si>
    <t xml:space="preserve">Tiempo de Llenado con Aireación por Chorros Emergidos     tl                                                          </t>
  </si>
  <si>
    <t>Tiempo de Ciclo                                                                     Tc</t>
  </si>
  <si>
    <t xml:space="preserve">Tiempo de Decantación                                                          td                                                       </t>
  </si>
  <si>
    <t>Tasa de Remoción de Nitrógeno SARR Máxima</t>
  </si>
  <si>
    <t>Carga de DBO5 Afluente</t>
  </si>
  <si>
    <t>kg DBO5/día</t>
  </si>
  <si>
    <t>Carga de NH4 Afluente</t>
  </si>
  <si>
    <t>kg NH4/día</t>
  </si>
  <si>
    <t>Carga de DBO5 Efluente</t>
  </si>
  <si>
    <t>Carga Orgánica Especificada en Biportadores  SALR Máxima</t>
  </si>
  <si>
    <t>Os</t>
  </si>
  <si>
    <t>Calculo de la Biopelícula</t>
  </si>
  <si>
    <t>Hoja "Agua-T(°C)"</t>
  </si>
  <si>
    <t>Hoja "Planta TPQA"</t>
  </si>
  <si>
    <t>Hoja "Nitrificación"</t>
  </si>
  <si>
    <t>Carga Orgánica Especificada en Bioportadores     SALR</t>
  </si>
  <si>
    <t>Hoja "Aireación"</t>
  </si>
  <si>
    <t>VELOCIDADES DE DECANTACION PARA DIVERSOS COAGULANTES</t>
  </si>
  <si>
    <t>Cloruro Férrico</t>
  </si>
  <si>
    <t>Sulfato de Aluminio</t>
  </si>
  <si>
    <t>Coagulante</t>
  </si>
  <si>
    <t xml:space="preserve">Velocidad de Decantación </t>
  </si>
  <si>
    <t>m/hora</t>
  </si>
  <si>
    <t>Fuente:</t>
  </si>
  <si>
    <t>Hoja "Floculación"</t>
  </si>
  <si>
    <t>Selecciónar en Hoja "Floculación"</t>
  </si>
  <si>
    <t>G</t>
  </si>
  <si>
    <t>Hoja "Agua-T(°C)</t>
  </si>
  <si>
    <t>Viscocidad Dinámica del Agua a T°C</t>
  </si>
  <si>
    <t xml:space="preserve">μ </t>
  </si>
  <si>
    <t xml:space="preserve">Rango del Gradiente de Velocidad   </t>
  </si>
  <si>
    <t>1/s</t>
  </si>
  <si>
    <t>Potencia Neta de Aireación por Difusores</t>
  </si>
  <si>
    <t>50 a 100</t>
  </si>
  <si>
    <t>No de Columnas de Difusores con Espaciamiento  (m) de:</t>
  </si>
  <si>
    <t>No de Filas de Difusores con Espaciamiento (m) de:</t>
  </si>
  <si>
    <t>Carga de DBO Removida</t>
  </si>
  <si>
    <t>Kg</t>
  </si>
  <si>
    <t>Días</t>
  </si>
  <si>
    <t>psi</t>
  </si>
  <si>
    <t>No de Valvulas de Flotador</t>
  </si>
  <si>
    <t>Diámetro de Valvula e Flotador</t>
  </si>
  <si>
    <t>Valores de 1,1.5,2 ó 3</t>
  </si>
  <si>
    <t>Tabla "Válvula Flotador"</t>
  </si>
  <si>
    <t>Diámetro del Orificio de Valvula e Flotador</t>
  </si>
  <si>
    <t>Km</t>
  </si>
  <si>
    <t>Control en Válvula de Salida</t>
  </si>
  <si>
    <t>Caudal Asumido en la Valvula de Flotador</t>
  </si>
  <si>
    <t>Tiempo de Salida del Efluente con Filtración</t>
  </si>
  <si>
    <t>to</t>
  </si>
  <si>
    <t>Coeficiente de Pérdidas en la Valvula de Flotador</t>
  </si>
  <si>
    <t>Diámetro de Valvula de Flotador (pg)</t>
  </si>
  <si>
    <t>Diámetro del Orificio</t>
  </si>
  <si>
    <t>Cálculos del Coeficiente de Pérdidas Km en la Valvula de Flotador</t>
  </si>
  <si>
    <t>Diámetro de Válvula</t>
  </si>
  <si>
    <t xml:space="preserve">Caída de Presión </t>
  </si>
  <si>
    <t>Area seccional</t>
  </si>
  <si>
    <t>Velocidad</t>
  </si>
  <si>
    <t>Coeficiente Km</t>
  </si>
  <si>
    <t>Promedio del Coeficiente de Perdidas Km:</t>
  </si>
  <si>
    <t>Fuente: Helbert &amp;Cia</t>
  </si>
  <si>
    <t>http://www.helbertycia.com/detalle_Producto.asp?IdProducto=18</t>
  </si>
  <si>
    <t>Profundidad Media de Difusores</t>
  </si>
  <si>
    <t>Qd</t>
  </si>
  <si>
    <t xml:space="preserve">30 a 60 </t>
  </si>
  <si>
    <t xml:space="preserve">Tasa de Remoción de NH4 en Bioportadores  SARR Máxima para Cl </t>
  </si>
  <si>
    <r>
      <t>gr NH</t>
    </r>
    <r>
      <rPr>
        <vertAlign val="sub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  <charset val="1"/>
      </rPr>
      <t>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*día</t>
    </r>
  </si>
  <si>
    <t>Tasa de Remoción de NH4 en Bioportadores SARR Calculada</t>
  </si>
  <si>
    <t>Altura Mínima de la Zona de Lodos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</si>
  <si>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</si>
  <si>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</si>
  <si>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</si>
  <si>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</si>
  <si>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Caudal </t>
  </si>
  <si>
    <t xml:space="preserve">Longitud  </t>
  </si>
  <si>
    <t>Diametro</t>
  </si>
  <si>
    <t xml:space="preserve">Velocidad Media </t>
  </si>
  <si>
    <t>Cantidad</t>
  </si>
  <si>
    <t>Tee  con salida lateral</t>
  </si>
  <si>
    <t>Codo  de radio corto</t>
  </si>
  <si>
    <t>Salida de los Lodos</t>
  </si>
  <si>
    <t>Salida del Efluente a Través del Fitro Flotante</t>
  </si>
  <si>
    <t>Volumen del Agua Tratada por Tanda</t>
  </si>
  <si>
    <t>Volúmen del Agua a Bombear por Tanda</t>
  </si>
  <si>
    <t>Caudal de  Salida por Válvula de Flotador</t>
  </si>
  <si>
    <t>Caudal de Consumo Promedio</t>
  </si>
  <si>
    <t>m3/día</t>
  </si>
  <si>
    <t>Ancho del Tanque</t>
  </si>
  <si>
    <t>Largo del Tanque</t>
  </si>
  <si>
    <t xml:space="preserve">Diferencia de Niveles </t>
  </si>
  <si>
    <t xml:space="preserve">Volumen Mínimo de Almacenamiento Regulador </t>
  </si>
  <si>
    <t>Volumen de Almacenamiento Regulador Disponible</t>
  </si>
  <si>
    <t>Tiempo Mínimo de Contacto en Cloración</t>
  </si>
  <si>
    <t>Tiempo de Contacto Disponible</t>
  </si>
  <si>
    <t>Tanque de Contacto y Regulación</t>
  </si>
  <si>
    <t>Reactor Secuencial de Biopelícula RSB</t>
  </si>
  <si>
    <t>Variación de Niveles en el RSB</t>
  </si>
  <si>
    <t>Producción de Lodos Orgánicos</t>
  </si>
  <si>
    <t>Producción de Lodos Inorgánicos</t>
  </si>
  <si>
    <t>Dosis de Coagulante Puro Requerido</t>
  </si>
  <si>
    <t>Alcalinidad Requerida</t>
  </si>
  <si>
    <t>gr/gr</t>
  </si>
  <si>
    <t>Cal Apagada Pura Requerida</t>
  </si>
  <si>
    <t>Alcalinidad Consumida</t>
  </si>
  <si>
    <t>Tasa</t>
  </si>
  <si>
    <t>Cantidad por Ciclo</t>
  </si>
  <si>
    <t>Masa de Precipitados</t>
  </si>
  <si>
    <t>Precipitados</t>
  </si>
  <si>
    <t>Coeficiente de Producción de Lodos</t>
  </si>
  <si>
    <t>Yn</t>
  </si>
  <si>
    <t xml:space="preserve">Constante de Declinación Endógena </t>
  </si>
  <si>
    <t>1/día</t>
  </si>
  <si>
    <t>Ideam- UTP-Cinara (Ref. F-3)</t>
  </si>
  <si>
    <t>Ecuación F-5</t>
  </si>
  <si>
    <t>Kg SSV/día</t>
  </si>
  <si>
    <t>Producción de Lodos Organicos con Base Seca</t>
  </si>
  <si>
    <t>Producción de Precipitados de Coagulantes con Base Seca</t>
  </si>
  <si>
    <t>Impurezasa de Cal con Base Seca</t>
  </si>
  <si>
    <t>Ancho de Módulo</t>
  </si>
  <si>
    <t>Largo de Módulo</t>
  </si>
  <si>
    <t>Area del Módulo Dispuesta</t>
  </si>
  <si>
    <t>Volumen de Lodos a Evacuar por Ciclo</t>
  </si>
  <si>
    <t>gr/Ciclo</t>
  </si>
  <si>
    <t>Tasa de Producción de Lodos Total con Base Seca</t>
  </si>
  <si>
    <t>Kg sólidos/m2-año</t>
  </si>
  <si>
    <t>Tasa de Aplicación Máxima</t>
  </si>
  <si>
    <t>Lts</t>
  </si>
  <si>
    <t>Contenido a Sólidos a Alcanzar con Bombeo</t>
  </si>
  <si>
    <t>30 a 40%</t>
  </si>
  <si>
    <t>Volumen de Agua a Extraer</t>
  </si>
  <si>
    <t>Caudal de Operación de la Bomba</t>
  </si>
  <si>
    <t>Factor de Operación de la Bomba</t>
  </si>
  <si>
    <t>Tiempo de Drenaje de Lodos con Bombeo</t>
  </si>
  <si>
    <t>mca</t>
  </si>
  <si>
    <t>Presion de Succión de Bomba  Especificada</t>
  </si>
  <si>
    <t>Espesor del Lecho</t>
  </si>
  <si>
    <t>Gradiente Teorico de Filtración por Gravedad</t>
  </si>
  <si>
    <t>https://www.engineeringtoolbox.com/density-materials-d_1652.html</t>
  </si>
  <si>
    <t>Densidad de la Arena</t>
  </si>
  <si>
    <t xml:space="preserve">gr/cm3 </t>
  </si>
  <si>
    <t>Altura de la Capa de Arena Removida</t>
  </si>
  <si>
    <t>Volúmen de la Arena Extraída a Reponer</t>
  </si>
  <si>
    <t xml:space="preserve">Peso de la Arena Extraída por Jornada  </t>
  </si>
  <si>
    <t>Peso del Agua Remanente</t>
  </si>
  <si>
    <t>Tiempo de Etapa de Decantación y Secado</t>
  </si>
  <si>
    <t>Volumen de Lodos y Agua por Módulo</t>
  </si>
  <si>
    <t>Altura del Sifonaje</t>
  </si>
  <si>
    <t>Presion de Succión en Lecho de Secado</t>
  </si>
  <si>
    <t>Peso Total de Solidos Secos Extraído por Jornada</t>
  </si>
  <si>
    <t>Peso Total de Biosólidos Extraídos por Jornada</t>
  </si>
  <si>
    <t>horas/día</t>
  </si>
  <si>
    <t>Tiempo Diario de Funcionamiento de los Difusores</t>
  </si>
  <si>
    <t>Coagulante Requerido por Ciclo</t>
  </si>
  <si>
    <t>Kg/ciclo</t>
  </si>
  <si>
    <t>Kg/Kg</t>
  </si>
  <si>
    <t>Aporte de Alcalinidad por gramo de Cal Apagada Pura</t>
  </si>
  <si>
    <t>Pureza en la Cal Comercial</t>
  </si>
  <si>
    <t>Kg Alc/Kg Cal</t>
  </si>
  <si>
    <t>Cantidad de Cal Comercial Requerida para Manatener Alcalinidad</t>
  </si>
  <si>
    <t>Perdidas de Cabeza en Tubería</t>
  </si>
  <si>
    <t>Tabla B. 6,30, RAS</t>
  </si>
  <si>
    <t>PEAD</t>
  </si>
  <si>
    <t>Tee con salida lateral</t>
  </si>
  <si>
    <t>Tasa de Aplicación Máxima de Diseño</t>
  </si>
  <si>
    <t>Sulfato Férrico</t>
  </si>
  <si>
    <t>Planos de Diseño</t>
  </si>
  <si>
    <t>Proporción de Bioportadores en Zona Aireada</t>
  </si>
  <si>
    <t>Eficiencia de Transferencia de Oxígeno del Difusor por Pie de Profundidad</t>
  </si>
  <si>
    <t>Caudal por Difusor Asumido</t>
  </si>
  <si>
    <t>Capacidad del Difusor</t>
  </si>
  <si>
    <t>Hvf</t>
  </si>
  <si>
    <t>Funcion Objetivo: Valor de Hvf</t>
  </si>
  <si>
    <t>Calcullar con Función Objetivo</t>
  </si>
  <si>
    <t>Capacidad de Cada Valvula de Flotador</t>
  </si>
  <si>
    <t>Capacidad Total de las Valvulas de Flotador</t>
  </si>
  <si>
    <t>Tuberia de Salida del Filtro Flotante</t>
  </si>
  <si>
    <t>Tuberia hasta Válvula de Flotador</t>
  </si>
  <si>
    <t>Perdidas Totales:</t>
  </si>
  <si>
    <t xml:space="preserve">Caudal  </t>
  </si>
  <si>
    <t>Valvula de Compuerta Abierta</t>
  </si>
  <si>
    <t>Válvula de Flotador</t>
  </si>
  <si>
    <t>Diametro del Orificio</t>
  </si>
  <si>
    <t>Coeficiente de Pérdidas</t>
  </si>
  <si>
    <t>Perdidas de Cabeza en Válvula</t>
  </si>
  <si>
    <t>Hoja "Tubería de Aire"</t>
  </si>
  <si>
    <t>TUBERÍA DE AIREACIÓN</t>
  </si>
  <si>
    <t>Total Pérdidas:</t>
  </si>
  <si>
    <t>Tubería de Succión</t>
  </si>
  <si>
    <t>Caudal Total</t>
  </si>
  <si>
    <t>Codo de radio corto</t>
  </si>
  <si>
    <t>Tubería de Descarga</t>
  </si>
  <si>
    <t>Tubería de Distribución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</si>
  <si>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</si>
  <si>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Numero de Parrillas</t>
  </si>
  <si>
    <t>Caudal Inicial</t>
  </si>
  <si>
    <t>Longitud de la Línea</t>
  </si>
  <si>
    <t>Tramo</t>
  </si>
  <si>
    <t>Diámetro D</t>
  </si>
  <si>
    <t>Caudal Q</t>
  </si>
  <si>
    <t>Pérdidas hf</t>
  </si>
  <si>
    <t>Parrilla de Aireación</t>
  </si>
  <si>
    <t>Numero de Tuberías</t>
  </si>
  <si>
    <t>Separación entre Ramales</t>
  </si>
  <si>
    <t>Longitud de la Parrilla</t>
  </si>
  <si>
    <t>Caudal por Ramal</t>
  </si>
  <si>
    <t>Tiempo de Salida con Filtración y Floculación                        to</t>
  </si>
  <si>
    <t>Caudal de Salida de Lodos</t>
  </si>
  <si>
    <t>Hoja "Tubería de Aireación "</t>
  </si>
  <si>
    <t>Tuberia de Salida de Lodos</t>
  </si>
  <si>
    <t>Hoja "Válvula de Flotador"</t>
  </si>
  <si>
    <t>Valvula de 3 Vias</t>
  </si>
  <si>
    <t>Valvula de Solenoide Abierta</t>
  </si>
  <si>
    <t>Concentración DBO Efluente del Tanque</t>
  </si>
  <si>
    <t>Ecuación F-11</t>
  </si>
  <si>
    <t>Ecuación F-12</t>
  </si>
  <si>
    <t>Numeral F-5,4</t>
  </si>
  <si>
    <t>Valvula de cheque cortina o bola</t>
  </si>
  <si>
    <t>Caudal por Parilla</t>
  </si>
  <si>
    <t>Separación entre Parrillas</t>
  </si>
  <si>
    <t>Longitud Inicial</t>
  </si>
  <si>
    <t>Figura A-13</t>
  </si>
  <si>
    <t>Separación Minima entre Parrillas</t>
  </si>
  <si>
    <t>No de Lineas de Bombeo</t>
  </si>
  <si>
    <t>No de Parrillas por Línea</t>
  </si>
  <si>
    <t>Ecuación A -11, Cap. A-3</t>
  </si>
  <si>
    <t>Ecuación A-4, Cap A-1</t>
  </si>
  <si>
    <t>Figura A-9, Jie Yin Jing  (Ref. A-10), Cap. A-3</t>
  </si>
  <si>
    <t>Ecuación A-10, Cap. A-3</t>
  </si>
  <si>
    <t>Metcalf &amp; Eddy. (Ref. A-1), Cap. A-1</t>
  </si>
  <si>
    <t>Ecuación A-3, Cap A-1</t>
  </si>
  <si>
    <t>Ecuación A-2, Cap. A-1</t>
  </si>
  <si>
    <t>Carga Superficial Máxima</t>
  </si>
  <si>
    <t>m/día</t>
  </si>
  <si>
    <t>Tiempo Total de Floculación</t>
  </si>
  <si>
    <t>m3/ciclo</t>
  </si>
  <si>
    <t>Volumen de Agua Bombeada por Día</t>
  </si>
  <si>
    <t>Hvs</t>
  </si>
  <si>
    <t>Nivel del Agua sobre Valvula de Flotador (Pérdidas en Tuberia)</t>
  </si>
  <si>
    <t>Funcion Objetivo: Valor de Hvs</t>
  </si>
  <si>
    <t>Valor Preliminar a Determinar durante Operación</t>
  </si>
  <si>
    <t>Rango de Tiempo de Floculación en Aguas Residuales         tf</t>
  </si>
  <si>
    <t>Tiempo de Floculación con Burbuja Fina                                tb</t>
  </si>
  <si>
    <t>Tiempo Total de Floculación                                                    tf</t>
  </si>
  <si>
    <t>kgO2/Kg NH4</t>
  </si>
  <si>
    <t>Tanque de Entrada</t>
  </si>
  <si>
    <t>Parámetros Principales</t>
  </si>
  <si>
    <t>Gradiente de Velocidad                                                          G</t>
  </si>
  <si>
    <t>AIREACIÓN POR CHORROS EMERGIDOS</t>
  </si>
  <si>
    <t>AIREACIÓN POR DIFUSORES DE BURBUJAS</t>
  </si>
  <si>
    <t>Jules B. van Lier  Ref. E-10</t>
  </si>
  <si>
    <t xml:space="preserve">Carga Orgánica Volumétrica  OLR (Organic Load Rate)&lt;1,45 </t>
  </si>
  <si>
    <t>KgDBO/m3-d</t>
  </si>
  <si>
    <t>Jules B. van Lier et al Ref. E-10</t>
  </si>
  <si>
    <t>Velocidad Ascencional Media &lt; 0.6 m/h</t>
  </si>
  <si>
    <t>Remoción de Carbono en Tanque Uasb</t>
  </si>
  <si>
    <t>75 a 80%</t>
  </si>
  <si>
    <t>Periodo de Detención Hidráulica HRT  &gt; 5 h</t>
  </si>
  <si>
    <t>Metcalf &amp; Eddy (Ref. D-28). Tabla 5-10</t>
  </si>
  <si>
    <t>Metcalf &amp; Eddy (Ref. D-28). Tabla 6-4</t>
  </si>
  <si>
    <t>Ecuación D-8</t>
  </si>
  <si>
    <t xml:space="preserve">Mazzei (Ref. A-16), Cap, A-4 </t>
  </si>
  <si>
    <t>Ecuación A-16  Van de Donk (Ref. A-7) Cap. A-3.</t>
  </si>
  <si>
    <t>N.sg/m2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</si>
  <si>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</si>
  <si>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Longitud entre Soportes de Parrilla</t>
  </si>
  <si>
    <t>Separación entre Parrillas adoptada</t>
  </si>
  <si>
    <t>Ecuación A-17</t>
  </si>
  <si>
    <t xml:space="preserve">Información de Entrada </t>
  </si>
  <si>
    <t>Información de Salida</t>
  </si>
  <si>
    <t>Caudal de cada Bomba</t>
  </si>
  <si>
    <t>Potencia de cada Bomba</t>
  </si>
  <si>
    <t>Pérdidas Totales:</t>
  </si>
  <si>
    <t xml:space="preserve">Pérdidas </t>
  </si>
  <si>
    <t>Pérdidas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</si>
  <si>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</si>
  <si>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</si>
  <si>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</si>
  <si>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</si>
  <si>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</si>
  <si>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</si>
  <si>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</si>
  <si>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</si>
  <si>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</si>
  <si>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</si>
  <si>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</si>
  <si>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</si>
  <si>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</si>
  <si>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</si>
  <si>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</si>
  <si>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</si>
  <si>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</si>
  <si>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 xml:space="preserve">Se puede tener en la abscisa una variable (p.e. caudal) que sea directamente proporcional al parámetro </t>
  </si>
  <si>
    <t>que se cambia (p.e. velocidad de los chorros)</t>
  </si>
  <si>
    <t>y luego se quita el color distitivo en este último.</t>
  </si>
  <si>
    <t>- Se realiza la gráfica a partir de las columnas de la abcisa y de las ordenadas.</t>
  </si>
  <si>
    <t>Ecuación A-8</t>
  </si>
  <si>
    <t>Fco</t>
  </si>
  <si>
    <t>Li</t>
  </si>
  <si>
    <t>CO</t>
  </si>
  <si>
    <t>Notas</t>
  </si>
  <si>
    <t>a la columna E, y luego se quita el color distintivo.</t>
  </si>
  <si>
    <t>Es importante verificar el cumplimento de las condiciones indIcadas en la columna D</t>
  </si>
  <si>
    <t xml:space="preserve">Metcalf &amp; Eddy (Ref. D-28) </t>
  </si>
  <si>
    <t>Ana Ghanem et al. (Ref. D-24)</t>
  </si>
  <si>
    <t xml:space="preserve">Tabla F-3.  Lawrence K. Wang. (Ref. F-7) </t>
  </si>
  <si>
    <t>Ecuación A-9  de Andrzej Bin  (Ref. A-8), Cap. A-3</t>
  </si>
  <si>
    <t>Fuentes: Harlan H. Bengtson (Ref. D-10) y Bjorn Rusten et al (Ref. D-11)</t>
  </si>
  <si>
    <t>Estequiometría Ecuación C-4</t>
  </si>
  <si>
    <t xml:space="preserve">Mona Chaali et al (Ref. D-3) </t>
  </si>
  <si>
    <t>Capítulo F-2.3. Diseño de Lechos de Secado</t>
  </si>
  <si>
    <t>Lawrence K. Wang et al, (Ref. F-7),  Numeral F-2,3</t>
  </si>
  <si>
    <t>Numeral D-8,2</t>
  </si>
  <si>
    <t>Metcalf &amp; Eddy (Ref. D-29, Tabla 14-19)</t>
  </si>
  <si>
    <t>Volúmen de Sólidos en Lodos de Cal  Espesads por Gravedad</t>
  </si>
  <si>
    <t>Metcalf &amp; Eddy (Ref. D-29, Tabla 14-7)</t>
  </si>
  <si>
    <t>5% a 10%</t>
  </si>
  <si>
    <t>Peso Específico de Sólidos de Sedimentación Primaria</t>
  </si>
  <si>
    <t>Concentración de Lodos Espesados</t>
  </si>
  <si>
    <t>Volumen de Lodos Espesados</t>
  </si>
  <si>
    <t>Peso del Lodo Seco por Etapa</t>
  </si>
  <si>
    <t>Altura de Lodos en Lecho por Etapa</t>
  </si>
  <si>
    <t>Altura Máxima de los Lodos</t>
  </si>
  <si>
    <t>Secado y Producción de Biosólidos</t>
  </si>
  <si>
    <t>Decantación y Espesamiento de Lodos</t>
  </si>
  <si>
    <t>Velocidad de Decantación</t>
  </si>
  <si>
    <t>Hoja "Floculación". Ana Ghanem et al (Ref D-24)</t>
  </si>
  <si>
    <t>Concentración Inicial de Lodos en Purga</t>
  </si>
  <si>
    <t>Númenro de Lechos</t>
  </si>
  <si>
    <t>Area de Cada Lecho Mínima Requerida</t>
  </si>
  <si>
    <t>Nivel de agua sobre Valvula de Solenoide (Pérdidas en Tuberia)</t>
  </si>
  <si>
    <t>Lawrence K. Wang et al, (Ref. F-7). Figura F-4</t>
  </si>
  <si>
    <t>Jairo Alberto Romero (Ref. D-13)</t>
  </si>
  <si>
    <t>Hoja "Lecho de Secado"</t>
  </si>
  <si>
    <t>Altura de Lodos en el RSB a Evacuar por Ciclo</t>
  </si>
  <si>
    <t>Manejo de Materiales</t>
  </si>
  <si>
    <t xml:space="preserve">Lecho de Secado de Lodos </t>
  </si>
  <si>
    <t>Altura de Lodos en el RSB Evacuados por Día</t>
  </si>
  <si>
    <t>PLANTA TPQA SECUENCIAL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</si>
</sst>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_ * #,##0.00_ ;_ * \-#,##0.00_ ;_ * &quot;-&quot;??_ ;_ @_ "/>
    <numFmt numFmtId="168" formatCode="0.0000"/>
    <numFmt numFmtId="169" formatCode="_(* #,##0.00_);_(* \(#,##0.00\);_(* &quot;-&quot;???_);_(@_)"/>
    <numFmt numFmtId="170" formatCode="_-* #,##0.00\ _€_-;\-* #,##0.00\ _€_-;_-* \-??\ _€_-;_-@_-"/>
    <numFmt numFmtId="171" formatCode="_ * #,##0.00_ ;_ * \-#,##0.00_ ;_ * \-??_ ;_ @_ "/>
    <numFmt numFmtId="172" formatCode="0.000000"/>
    <numFmt numFmtId="173" formatCode="#,##0.0"/>
    <numFmt numFmtId="174" formatCode="0.0%"/>
    <numFmt numFmtId="175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vertAlign val="subscript"/>
      <sz val="11"/>
      <name val="Arial"/>
      <family val="2"/>
    </font>
    <font>
      <sz val="11"/>
      <name val="Calibri"/>
      <family val="2"/>
      <charset val="1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1"/>
    </font>
    <font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9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CCFFCC"/>
      </patternFill>
    </fill>
    <fill>
      <patternFill patternType="solid">
        <fgColor rgb="FFFBE5D6"/>
        <bgColor rgb="FFFDEADA"/>
      </patternFill>
    </fill>
    <fill>
      <patternFill patternType="solid">
        <fgColor rgb="FFD2F9FE"/>
        <bgColor rgb="FFCCFFFF"/>
      </patternFill>
    </fill>
    <fill>
      <patternFill patternType="solid">
        <fgColor rgb="FFCCFFFF"/>
        <bgColor rgb="FFD2F9FE"/>
      </patternFill>
    </fill>
    <fill>
      <patternFill patternType="solid">
        <fgColor rgb="FFDEEBF7"/>
        <bgColor rgb="FFDBEEF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FFF2CC"/>
        <bgColor rgb="FFFDEADA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EEEEEE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BF1DE"/>
      </patternFill>
    </fill>
    <fill>
      <patternFill patternType="solid">
        <fgColor theme="5" tint="0.79998168889431442"/>
        <bgColor rgb="FFEEECE1"/>
      </patternFill>
    </fill>
    <fill>
      <patternFill patternType="solid">
        <fgColor rgb="FFFFF2CC"/>
        <bgColor rgb="FFDAE3F3"/>
      </patternFill>
    </fill>
    <fill>
      <patternFill patternType="solid">
        <fgColor theme="0"/>
        <bgColor rgb="FFDEEBF7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rgb="FFFFFFCC"/>
        <bgColor rgb="FFDCE6F2"/>
      </patternFill>
    </fill>
    <fill>
      <patternFill patternType="solid">
        <fgColor theme="5" tint="0.79998168889431442"/>
        <bgColor rgb="FFEBF1DE"/>
      </patternFill>
    </fill>
    <fill>
      <patternFill patternType="solid">
        <fgColor theme="5" tint="0.79998168889431442"/>
        <bgColor rgb="FFEBFED2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5" tint="0.79998168889431442"/>
        <bgColor rgb="FFDAE3F3"/>
      </patternFill>
    </fill>
    <fill>
      <patternFill patternType="solid">
        <fgColor theme="5" tint="0.79998168889431442"/>
        <bgColor rgb="FFCCFFCC"/>
      </patternFill>
    </fill>
    <fill>
      <patternFill patternType="solid">
        <fgColor rgb="FFCCFFFF"/>
        <bgColor rgb="FFCC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/>
    <xf numFmtId="9" fontId="14" fillId="0" borderId="0" applyBorder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90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0" borderId="0" xfId="0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8" borderId="5" xfId="0" applyFont="1" applyFill="1" applyBorder="1"/>
    <xf numFmtId="0" fontId="2" fillId="8" borderId="4" xfId="0" applyFont="1" applyFill="1" applyBorder="1"/>
    <xf numFmtId="0" fontId="2" fillId="4" borderId="5" xfId="0" applyFont="1" applyFill="1" applyBorder="1"/>
    <xf numFmtId="0" fontId="2" fillId="9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8" borderId="6" xfId="0" applyFont="1" applyFill="1" applyBorder="1"/>
    <xf numFmtId="0" fontId="2" fillId="5" borderId="6" xfId="0" applyFont="1" applyFill="1" applyBorder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4" fillId="0" borderId="5" xfId="0" applyFont="1" applyBorder="1"/>
    <xf numFmtId="0" fontId="4" fillId="0" borderId="4" xfId="0" applyFont="1" applyBorder="1"/>
    <xf numFmtId="0" fontId="2" fillId="6" borderId="5" xfId="0" applyFont="1" applyFill="1" applyBorder="1"/>
    <xf numFmtId="0" fontId="0" fillId="6" borderId="6" xfId="0" applyFill="1" applyBorder="1"/>
    <xf numFmtId="2" fontId="4" fillId="6" borderId="4" xfId="0" applyNumberFormat="1" applyFont="1" applyFill="1" applyBorder="1" applyAlignment="1">
      <alignment horizontal="left" inden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7" borderId="5" xfId="0" applyFont="1" applyFill="1" applyBorder="1"/>
    <xf numFmtId="0" fontId="2" fillId="7" borderId="6" xfId="0" applyFont="1" applyFill="1" applyBorder="1"/>
    <xf numFmtId="0" fontId="2" fillId="5" borderId="4" xfId="0" applyFont="1" applyFill="1" applyBorder="1"/>
    <xf numFmtId="0" fontId="2" fillId="0" borderId="10" xfId="0" applyFont="1" applyBorder="1"/>
    <xf numFmtId="0" fontId="4" fillId="9" borderId="5" xfId="0" applyFont="1" applyFill="1" applyBorder="1"/>
    <xf numFmtId="0" fontId="4" fillId="8" borderId="5" xfId="0" applyFont="1" applyFill="1" applyBorder="1"/>
    <xf numFmtId="0" fontId="4" fillId="4" borderId="5" xfId="0" applyFont="1" applyFill="1" applyBorder="1"/>
    <xf numFmtId="2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5" borderId="6" xfId="0" applyFill="1" applyBorder="1"/>
    <xf numFmtId="0" fontId="0" fillId="7" borderId="6" xfId="0" applyFill="1" applyBorder="1"/>
    <xf numFmtId="2" fontId="2" fillId="0" borderId="6" xfId="0" applyNumberFormat="1" applyFont="1" applyBorder="1" applyAlignment="1">
      <alignment horizontal="right" indent="1"/>
    </xf>
    <xf numFmtId="0" fontId="2" fillId="5" borderId="5" xfId="0" applyFont="1" applyFill="1" applyBorder="1"/>
    <xf numFmtId="2" fontId="2" fillId="5" borderId="6" xfId="0" applyNumberFormat="1" applyFont="1" applyFill="1" applyBorder="1" applyAlignment="1">
      <alignment horizontal="right" indent="1"/>
    </xf>
    <xf numFmtId="0" fontId="4" fillId="9" borderId="6" xfId="0" applyFont="1" applyFill="1" applyBorder="1"/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2" fontId="4" fillId="2" borderId="6" xfId="0" applyNumberFormat="1" applyFont="1" applyFill="1" applyBorder="1" applyAlignment="1">
      <alignment horizontal="right" indent="1"/>
    </xf>
    <xf numFmtId="0" fontId="4" fillId="9" borderId="10" xfId="0" applyFont="1" applyFill="1" applyBorder="1"/>
    <xf numFmtId="0" fontId="4" fillId="9" borderId="6" xfId="0" applyFont="1" applyFill="1" applyBorder="1" applyAlignment="1">
      <alignment horizontal="center"/>
    </xf>
    <xf numFmtId="1" fontId="4" fillId="9" borderId="6" xfId="0" applyNumberFormat="1" applyFont="1" applyFill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0" fontId="5" fillId="0" borderId="6" xfId="0" applyFont="1" applyBorder="1"/>
    <xf numFmtId="2" fontId="4" fillId="7" borderId="6" xfId="0" applyNumberFormat="1" applyFont="1" applyFill="1" applyBorder="1" applyAlignment="1">
      <alignment horizontal="right" indent="1"/>
    </xf>
    <xf numFmtId="2" fontId="4" fillId="4" borderId="6" xfId="0" applyNumberFormat="1" applyFont="1" applyFill="1" applyBorder="1" applyAlignment="1">
      <alignment horizontal="right" indent="1"/>
    </xf>
    <xf numFmtId="2" fontId="4" fillId="4" borderId="4" xfId="0" applyNumberFormat="1" applyFont="1" applyFill="1" applyBorder="1"/>
    <xf numFmtId="2" fontId="4" fillId="0" borderId="6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2" fillId="0" borderId="0" xfId="0" applyFont="1" applyAlignment="1">
      <alignment horizontal="right" indent="1"/>
    </xf>
    <xf numFmtId="0" fontId="2" fillId="0" borderId="10" xfId="0" applyFont="1" applyBorder="1" applyAlignment="1">
      <alignment horizontal="right" indent="1"/>
    </xf>
    <xf numFmtId="9" fontId="4" fillId="0" borderId="0" xfId="0" applyNumberFormat="1" applyFont="1" applyAlignment="1">
      <alignment horizontal="right" indent="1"/>
    </xf>
    <xf numFmtId="2" fontId="2" fillId="6" borderId="6" xfId="0" applyNumberFormat="1" applyFont="1" applyFill="1" applyBorder="1" applyAlignment="1">
      <alignment horizontal="right" indent="1"/>
    </xf>
    <xf numFmtId="1" fontId="2" fillId="0" borderId="6" xfId="0" applyNumberFormat="1" applyFont="1" applyBorder="1" applyAlignment="1">
      <alignment horizontal="right" indent="1"/>
    </xf>
    <xf numFmtId="2" fontId="2" fillId="7" borderId="6" xfId="0" applyNumberFormat="1" applyFont="1" applyFill="1" applyBorder="1" applyAlignment="1">
      <alignment horizontal="right" indent="1"/>
    </xf>
    <xf numFmtId="1" fontId="2" fillId="2" borderId="6" xfId="0" applyNumberFormat="1" applyFont="1" applyFill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4" fontId="2" fillId="8" borderId="6" xfId="0" applyNumberFormat="1" applyFont="1" applyFill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4" fillId="8" borderId="6" xfId="0" applyFont="1" applyFill="1" applyBorder="1"/>
    <xf numFmtId="0" fontId="4" fillId="6" borderId="6" xfId="0" applyFont="1" applyFill="1" applyBorder="1"/>
    <xf numFmtId="2" fontId="4" fillId="0" borderId="0" xfId="0" applyNumberFormat="1" applyFont="1" applyAlignment="1">
      <alignment horizontal="right" indent="1"/>
    </xf>
    <xf numFmtId="0" fontId="4" fillId="8" borderId="6" xfId="0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2" fontId="4" fillId="8" borderId="6" xfId="0" applyNumberFormat="1" applyFont="1" applyFill="1" applyBorder="1" applyAlignment="1">
      <alignment horizontal="right" indent="1"/>
    </xf>
    <xf numFmtId="0" fontId="6" fillId="0" borderId="3" xfId="0" applyFont="1" applyBorder="1" applyAlignment="1">
      <alignment horizontal="center"/>
    </xf>
    <xf numFmtId="2" fontId="4" fillId="0" borderId="8" xfId="0" applyNumberFormat="1" applyFont="1" applyBorder="1" applyAlignment="1">
      <alignment horizontal="right" indent="1"/>
    </xf>
    <xf numFmtId="0" fontId="2" fillId="0" borderId="14" xfId="0" applyFont="1" applyBorder="1" applyAlignment="1">
      <alignment horizontal="left"/>
    </xf>
    <xf numFmtId="4" fontId="2" fillId="4" borderId="10" xfId="0" applyNumberFormat="1" applyFont="1" applyFill="1" applyBorder="1" applyAlignment="1">
      <alignment horizontal="right" indent="1"/>
    </xf>
    <xf numFmtId="4" fontId="4" fillId="8" borderId="6" xfId="0" applyNumberFormat="1" applyFont="1" applyFill="1" applyBorder="1" applyAlignment="1">
      <alignment horizontal="right" indent="1"/>
    </xf>
    <xf numFmtId="0" fontId="4" fillId="9" borderId="13" xfId="0" applyFont="1" applyFill="1" applyBorder="1"/>
    <xf numFmtId="2" fontId="4" fillId="9" borderId="10" xfId="0" applyNumberFormat="1" applyFont="1" applyFill="1" applyBorder="1" applyAlignment="1">
      <alignment horizontal="right" indent="1"/>
    </xf>
    <xf numFmtId="0" fontId="4" fillId="9" borderId="7" xfId="0" applyFont="1" applyFill="1" applyBorder="1"/>
    <xf numFmtId="0" fontId="0" fillId="9" borderId="8" xfId="0" applyFill="1" applyBorder="1"/>
    <xf numFmtId="169" fontId="2" fillId="9" borderId="8" xfId="0" applyNumberFormat="1" applyFont="1" applyFill="1" applyBorder="1" applyAlignment="1">
      <alignment horizontal="right" vertical="center" indent="1"/>
    </xf>
    <xf numFmtId="0" fontId="6" fillId="8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4" xfId="0" applyFont="1" applyFill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right" indent="1"/>
    </xf>
    <xf numFmtId="2" fontId="9" fillId="0" borderId="10" xfId="0" applyNumberFormat="1" applyFont="1" applyBorder="1" applyAlignment="1">
      <alignment horizontal="right" vertical="center" indent="1"/>
    </xf>
    <xf numFmtId="4" fontId="9" fillId="10" borderId="6" xfId="0" applyNumberFormat="1" applyFont="1" applyFill="1" applyBorder="1" applyAlignment="1">
      <alignment horizontal="right" indent="1"/>
    </xf>
    <xf numFmtId="0" fontId="10" fillId="12" borderId="5" xfId="0" applyFont="1" applyFill="1" applyBorder="1"/>
    <xf numFmtId="1" fontId="10" fillId="12" borderId="6" xfId="0" applyNumberFormat="1" applyFont="1" applyFill="1" applyBorder="1" applyAlignment="1">
      <alignment horizontal="right" indent="1"/>
    </xf>
    <xf numFmtId="0" fontId="10" fillId="12" borderId="4" xfId="0" applyFont="1" applyFill="1" applyBorder="1"/>
    <xf numFmtId="1" fontId="10" fillId="13" borderId="6" xfId="0" applyNumberFormat="1" applyFont="1" applyFill="1" applyBorder="1" applyAlignment="1">
      <alignment horizontal="center"/>
    </xf>
    <xf numFmtId="2" fontId="10" fillId="13" borderId="6" xfId="0" applyNumberFormat="1" applyFont="1" applyFill="1" applyBorder="1" applyAlignment="1">
      <alignment horizontal="right" indent="1"/>
    </xf>
    <xf numFmtId="0" fontId="10" fillId="13" borderId="4" xfId="0" applyFont="1" applyFill="1" applyBorder="1"/>
    <xf numFmtId="0" fontId="12" fillId="0" borderId="0" xfId="0" applyFont="1" applyAlignment="1">
      <alignment horizontal="left"/>
    </xf>
    <xf numFmtId="170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left"/>
    </xf>
    <xf numFmtId="0" fontId="9" fillId="12" borderId="6" xfId="0" applyFont="1" applyFill="1" applyBorder="1" applyAlignment="1">
      <alignment horizontal="center"/>
    </xf>
    <xf numFmtId="0" fontId="10" fillId="14" borderId="5" xfId="0" applyFont="1" applyFill="1" applyBorder="1"/>
    <xf numFmtId="0" fontId="9" fillId="14" borderId="6" xfId="0" applyFont="1" applyFill="1" applyBorder="1" applyAlignment="1">
      <alignment horizontal="center"/>
    </xf>
    <xf numFmtId="2" fontId="10" fillId="14" borderId="6" xfId="0" applyNumberFormat="1" applyFont="1" applyFill="1" applyBorder="1" applyAlignment="1">
      <alignment horizontal="right" indent="1"/>
    </xf>
    <xf numFmtId="0" fontId="10" fillId="14" borderId="4" xfId="0" applyFont="1" applyFill="1" applyBorder="1"/>
    <xf numFmtId="0" fontId="10" fillId="0" borderId="0" xfId="0" applyFont="1"/>
    <xf numFmtId="0" fontId="9" fillId="10" borderId="5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4" fontId="9" fillId="0" borderId="6" xfId="0" applyNumberFormat="1" applyFont="1" applyBorder="1" applyAlignment="1">
      <alignment horizontal="right" indent="1"/>
    </xf>
    <xf numFmtId="2" fontId="9" fillId="0" borderId="3" xfId="0" applyNumberFormat="1" applyFont="1" applyBorder="1" applyAlignment="1">
      <alignment horizontal="right" indent="1"/>
    </xf>
    <xf numFmtId="0" fontId="10" fillId="0" borderId="5" xfId="0" applyFont="1" applyBorder="1"/>
    <xf numFmtId="2" fontId="10" fillId="0" borderId="6" xfId="0" applyNumberFormat="1" applyFont="1" applyBorder="1" applyAlignment="1">
      <alignment horizontal="right" indent="1"/>
    </xf>
    <xf numFmtId="0" fontId="10" fillId="0" borderId="4" xfId="0" applyFont="1" applyBorder="1"/>
    <xf numFmtId="1" fontId="9" fillId="0" borderId="10" xfId="0" applyNumberFormat="1" applyFont="1" applyBorder="1" applyAlignment="1">
      <alignment horizontal="right" vertical="center" indent="1"/>
    </xf>
    <xf numFmtId="2" fontId="9" fillId="18" borderId="10" xfId="0" applyNumberFormat="1" applyFont="1" applyFill="1" applyBorder="1" applyAlignment="1">
      <alignment horizontal="right" vertical="center" inden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18" borderId="5" xfId="0" applyFont="1" applyFill="1" applyBorder="1" applyAlignment="1">
      <alignment vertical="center"/>
    </xf>
    <xf numFmtId="0" fontId="10" fillId="18" borderId="6" xfId="0" applyFont="1" applyFill="1" applyBorder="1" applyAlignment="1">
      <alignment horizontal="center" vertical="center"/>
    </xf>
    <xf numFmtId="0" fontId="10" fillId="18" borderId="4" xfId="0" applyFont="1" applyFill="1" applyBorder="1"/>
    <xf numFmtId="0" fontId="9" fillId="0" borderId="0" xfId="0" applyFont="1" applyAlignment="1">
      <alignment horizontal="right"/>
    </xf>
    <xf numFmtId="3" fontId="9" fillId="0" borderId="6" xfId="0" applyNumberFormat="1" applyFont="1" applyBorder="1" applyAlignment="1">
      <alignment horizontal="right" indent="1"/>
    </xf>
    <xf numFmtId="0" fontId="9" fillId="19" borderId="5" xfId="0" applyFont="1" applyFill="1" applyBorder="1" applyAlignment="1">
      <alignment vertical="center" wrapText="1"/>
    </xf>
    <xf numFmtId="0" fontId="9" fillId="19" borderId="6" xfId="0" applyFont="1" applyFill="1" applyBorder="1" applyAlignment="1">
      <alignment horizontal="center"/>
    </xf>
    <xf numFmtId="2" fontId="9" fillId="19" borderId="6" xfId="0" applyNumberFormat="1" applyFont="1" applyFill="1" applyBorder="1" applyAlignment="1">
      <alignment horizontal="right" indent="1"/>
    </xf>
    <xf numFmtId="0" fontId="9" fillId="19" borderId="4" xfId="0" applyFont="1" applyFill="1" applyBorder="1"/>
    <xf numFmtId="0" fontId="4" fillId="21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2" fontId="4" fillId="4" borderId="6" xfId="0" applyNumberFormat="1" applyFont="1" applyFill="1" applyBorder="1" applyAlignment="1">
      <alignment horizontal="right" vertical="center" indent="1"/>
    </xf>
    <xf numFmtId="2" fontId="4" fillId="4" borderId="4" xfId="0" applyNumberFormat="1" applyFont="1" applyFill="1" applyBorder="1" applyAlignment="1">
      <alignment vertical="center"/>
    </xf>
    <xf numFmtId="168" fontId="4" fillId="4" borderId="6" xfId="0" applyNumberFormat="1" applyFont="1" applyFill="1" applyBorder="1" applyAlignment="1">
      <alignment horizontal="right" vertical="center" indent="1"/>
    </xf>
    <xf numFmtId="0" fontId="9" fillId="19" borderId="6" xfId="0" applyFont="1" applyFill="1" applyBorder="1" applyAlignment="1">
      <alignment horizontal="center" vertical="center"/>
    </xf>
    <xf numFmtId="2" fontId="9" fillId="19" borderId="6" xfId="0" applyNumberFormat="1" applyFont="1" applyFill="1" applyBorder="1" applyAlignment="1">
      <alignment horizontal="right" vertical="center" indent="1"/>
    </xf>
    <xf numFmtId="0" fontId="9" fillId="19" borderId="4" xfId="0" applyFont="1" applyFill="1" applyBorder="1" applyAlignment="1">
      <alignment vertical="center"/>
    </xf>
    <xf numFmtId="164" fontId="4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indent="1"/>
    </xf>
    <xf numFmtId="0" fontId="9" fillId="17" borderId="5" xfId="0" applyFont="1" applyFill="1" applyBorder="1"/>
    <xf numFmtId="0" fontId="4" fillId="19" borderId="5" xfId="0" applyFont="1" applyFill="1" applyBorder="1" applyAlignment="1">
      <alignment vertical="center" wrapText="1"/>
    </xf>
    <xf numFmtId="0" fontId="4" fillId="19" borderId="6" xfId="0" applyFont="1" applyFill="1" applyBorder="1" applyAlignment="1">
      <alignment horizontal="center"/>
    </xf>
    <xf numFmtId="2" fontId="4" fillId="19" borderId="6" xfId="0" applyNumberFormat="1" applyFont="1" applyFill="1" applyBorder="1" applyAlignment="1">
      <alignment horizontal="right" indent="1"/>
    </xf>
    <xf numFmtId="0" fontId="4" fillId="19" borderId="4" xfId="0" applyFont="1" applyFill="1" applyBorder="1"/>
    <xf numFmtId="0" fontId="4" fillId="20" borderId="6" xfId="0" applyFont="1" applyFill="1" applyBorder="1" applyAlignment="1">
      <alignment vertical="center"/>
    </xf>
    <xf numFmtId="2" fontId="4" fillId="20" borderId="6" xfId="0" applyNumberFormat="1" applyFont="1" applyFill="1" applyBorder="1" applyAlignment="1">
      <alignment horizontal="right" indent="1"/>
    </xf>
    <xf numFmtId="0" fontId="4" fillId="20" borderId="4" xfId="0" applyFont="1" applyFill="1" applyBorder="1"/>
    <xf numFmtId="0" fontId="4" fillId="22" borderId="5" xfId="0" applyFont="1" applyFill="1" applyBorder="1" applyAlignment="1">
      <alignment vertical="center"/>
    </xf>
    <xf numFmtId="0" fontId="4" fillId="22" borderId="6" xfId="0" applyFont="1" applyFill="1" applyBorder="1" applyAlignment="1">
      <alignment horizontal="center" vertical="center"/>
    </xf>
    <xf numFmtId="2" fontId="4" fillId="23" borderId="10" xfId="0" applyNumberFormat="1" applyFont="1" applyFill="1" applyBorder="1" applyAlignment="1">
      <alignment horizontal="right" vertical="center" indent="1"/>
    </xf>
    <xf numFmtId="0" fontId="4" fillId="22" borderId="4" xfId="0" applyFont="1" applyFill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vertical="center" wrapText="1"/>
    </xf>
    <xf numFmtId="2" fontId="4" fillId="20" borderId="8" xfId="0" applyNumberFormat="1" applyFont="1" applyFill="1" applyBorder="1" applyAlignment="1">
      <alignment horizontal="right" indent="1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2" fontId="4" fillId="20" borderId="10" xfId="0" applyNumberFormat="1" applyFont="1" applyFill="1" applyBorder="1" applyAlignment="1">
      <alignment horizontal="right" indent="1"/>
    </xf>
    <xf numFmtId="0" fontId="4" fillId="0" borderId="14" xfId="0" applyFont="1" applyBorder="1" applyAlignment="1">
      <alignment horizontal="left"/>
    </xf>
    <xf numFmtId="2" fontId="4" fillId="0" borderId="10" xfId="0" applyNumberFormat="1" applyFont="1" applyBorder="1" applyAlignment="1">
      <alignment horizontal="right" inden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right" vertical="center" indent="1"/>
    </xf>
    <xf numFmtId="0" fontId="4" fillId="5" borderId="4" xfId="0" applyFont="1" applyFill="1" applyBorder="1" applyAlignment="1">
      <alignment vertical="center"/>
    </xf>
    <xf numFmtId="0" fontId="4" fillId="11" borderId="5" xfId="0" applyFont="1" applyFill="1" applyBorder="1"/>
    <xf numFmtId="0" fontId="4" fillId="11" borderId="6" xfId="0" applyFont="1" applyFill="1" applyBorder="1" applyAlignment="1">
      <alignment horizontal="center"/>
    </xf>
    <xf numFmtId="168" fontId="4" fillId="11" borderId="10" xfId="0" applyNumberFormat="1" applyFont="1" applyFill="1" applyBorder="1" applyAlignment="1">
      <alignment horizontal="right" vertical="center" indent="1"/>
    </xf>
    <xf numFmtId="0" fontId="4" fillId="11" borderId="4" xfId="0" applyFont="1" applyFill="1" applyBorder="1"/>
    <xf numFmtId="0" fontId="4" fillId="12" borderId="5" xfId="0" applyFont="1" applyFill="1" applyBorder="1"/>
    <xf numFmtId="1" fontId="4" fillId="13" borderId="6" xfId="0" applyNumberFormat="1" applyFont="1" applyFill="1" applyBorder="1" applyAlignment="1">
      <alignment horizontal="center"/>
    </xf>
    <xf numFmtId="2" fontId="4" fillId="13" borderId="6" xfId="0" applyNumberFormat="1" applyFont="1" applyFill="1" applyBorder="1" applyAlignment="1">
      <alignment horizontal="right" indent="1"/>
    </xf>
    <xf numFmtId="0" fontId="4" fillId="13" borderId="4" xfId="0" applyFont="1" applyFill="1" applyBorder="1"/>
    <xf numFmtId="166" fontId="4" fillId="19" borderId="6" xfId="0" applyNumberFormat="1" applyFont="1" applyFill="1" applyBorder="1" applyAlignment="1">
      <alignment horizontal="right" indent="1"/>
    </xf>
    <xf numFmtId="0" fontId="9" fillId="0" borderId="5" xfId="0" applyFont="1" applyBorder="1"/>
    <xf numFmtId="0" fontId="9" fillId="0" borderId="4" xfId="0" applyFont="1" applyBorder="1"/>
    <xf numFmtId="2" fontId="9" fillId="0" borderId="0" xfId="0" applyNumberFormat="1" applyFont="1" applyAlignment="1">
      <alignment horizontal="right" indent="1"/>
    </xf>
    <xf numFmtId="0" fontId="2" fillId="8" borderId="5" xfId="0" applyFont="1" applyFill="1" applyBorder="1" applyAlignment="1">
      <alignment vertical="center" wrapText="1"/>
    </xf>
    <xf numFmtId="167" fontId="4" fillId="8" borderId="6" xfId="0" applyNumberFormat="1" applyFont="1" applyFill="1" applyBorder="1" applyAlignment="1">
      <alignment horizontal="right" indent="1"/>
    </xf>
    <xf numFmtId="0" fontId="2" fillId="8" borderId="4" xfId="0" applyFont="1" applyFill="1" applyBorder="1" applyAlignment="1">
      <alignment horizontal="left"/>
    </xf>
    <xf numFmtId="0" fontId="4" fillId="24" borderId="5" xfId="0" applyFont="1" applyFill="1" applyBorder="1"/>
    <xf numFmtId="164" fontId="4" fillId="24" borderId="6" xfId="0" applyNumberFormat="1" applyFont="1" applyFill="1" applyBorder="1" applyAlignment="1">
      <alignment horizontal="center"/>
    </xf>
    <xf numFmtId="1" fontId="4" fillId="24" borderId="6" xfId="0" applyNumberFormat="1" applyFont="1" applyFill="1" applyBorder="1" applyAlignment="1">
      <alignment horizontal="right" indent="1"/>
    </xf>
    <xf numFmtId="2" fontId="4" fillId="24" borderId="4" xfId="0" applyNumberFormat="1" applyFont="1" applyFill="1" applyBorder="1"/>
    <xf numFmtId="0" fontId="4" fillId="7" borderId="5" xfId="0" applyFont="1" applyFill="1" applyBorder="1" applyAlignment="1">
      <alignment horizontal="left"/>
    </xf>
    <xf numFmtId="167" fontId="4" fillId="7" borderId="6" xfId="0" applyNumberFormat="1" applyFont="1" applyFill="1" applyBorder="1" applyAlignment="1">
      <alignment horizontal="right" indent="1"/>
    </xf>
    <xf numFmtId="0" fontId="2" fillId="7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167" fontId="2" fillId="5" borderId="6" xfId="0" applyNumberFormat="1" applyFont="1" applyFill="1" applyBorder="1" applyAlignment="1">
      <alignment horizontal="right" indent="1"/>
    </xf>
    <xf numFmtId="0" fontId="9" fillId="25" borderId="1" xfId="0" applyFont="1" applyFill="1" applyBorder="1" applyAlignment="1">
      <alignment horizontal="center"/>
    </xf>
    <xf numFmtId="0" fontId="9" fillId="25" borderId="9" xfId="0" applyFont="1" applyFill="1" applyBorder="1" applyAlignment="1">
      <alignment horizontal="center"/>
    </xf>
    <xf numFmtId="2" fontId="9" fillId="25" borderId="3" xfId="0" applyNumberFormat="1" applyFont="1" applyFill="1" applyBorder="1" applyAlignment="1">
      <alignment horizontal="center"/>
    </xf>
    <xf numFmtId="2" fontId="9" fillId="25" borderId="4" xfId="0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0" fontId="2" fillId="26" borderId="5" xfId="0" applyFont="1" applyFill="1" applyBorder="1"/>
    <xf numFmtId="0" fontId="4" fillId="26" borderId="6" xfId="0" applyFont="1" applyFill="1" applyBorder="1" applyAlignment="1">
      <alignment horizontal="center"/>
    </xf>
    <xf numFmtId="3" fontId="4" fillId="26" borderId="6" xfId="0" applyNumberFormat="1" applyFont="1" applyFill="1" applyBorder="1" applyAlignment="1">
      <alignment horizontal="right" indent="1"/>
    </xf>
    <xf numFmtId="0" fontId="2" fillId="26" borderId="4" xfId="0" applyFont="1" applyFill="1" applyBorder="1"/>
    <xf numFmtId="0" fontId="9" fillId="0" borderId="4" xfId="0" applyFont="1" applyBorder="1" applyAlignment="1">
      <alignment horizontal="right"/>
    </xf>
    <xf numFmtId="1" fontId="4" fillId="6" borderId="6" xfId="0" applyNumberFormat="1" applyFont="1" applyFill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" fillId="8" borderId="9" xfId="0" applyFont="1" applyFill="1" applyBorder="1"/>
    <xf numFmtId="0" fontId="2" fillId="0" borderId="7" xfId="0" applyFont="1" applyBorder="1" applyAlignment="1">
      <alignment vertical="center" wrapText="1"/>
    </xf>
    <xf numFmtId="0" fontId="0" fillId="0" borderId="8" xfId="0" applyBorder="1"/>
    <xf numFmtId="2" fontId="2" fillId="0" borderId="8" xfId="0" applyNumberFormat="1" applyFont="1" applyBorder="1" applyAlignment="1">
      <alignment horizontal="right" indent="1"/>
    </xf>
    <xf numFmtId="0" fontId="2" fillId="0" borderId="9" xfId="0" applyFont="1" applyBorder="1" applyAlignment="1">
      <alignment vertical="center"/>
    </xf>
    <xf numFmtId="0" fontId="4" fillId="8" borderId="7" xfId="0" applyFont="1" applyFill="1" applyBorder="1" applyAlignment="1">
      <alignment wrapText="1"/>
    </xf>
    <xf numFmtId="0" fontId="2" fillId="8" borderId="8" xfId="0" applyFont="1" applyFill="1" applyBorder="1"/>
    <xf numFmtId="167" fontId="2" fillId="8" borderId="8" xfId="0" applyNumberFormat="1" applyFont="1" applyFill="1" applyBorder="1" applyAlignment="1">
      <alignment horizontal="right" indent="1"/>
    </xf>
    <xf numFmtId="0" fontId="9" fillId="0" borderId="6" xfId="0" applyFont="1" applyBorder="1" applyAlignment="1">
      <alignment vertical="center"/>
    </xf>
    <xf numFmtId="9" fontId="9" fillId="0" borderId="6" xfId="0" applyNumberFormat="1" applyFont="1" applyBorder="1" applyAlignment="1">
      <alignment horizontal="center"/>
    </xf>
    <xf numFmtId="2" fontId="9" fillId="20" borderId="6" xfId="0" applyNumberFormat="1" applyFont="1" applyFill="1" applyBorder="1" applyAlignment="1">
      <alignment horizontal="right" indent="1"/>
    </xf>
    <xf numFmtId="0" fontId="9" fillId="20" borderId="4" xfId="0" applyFont="1" applyFill="1" applyBorder="1"/>
    <xf numFmtId="0" fontId="9" fillId="27" borderId="6" xfId="0" applyFont="1" applyFill="1" applyBorder="1" applyAlignment="1">
      <alignment vertical="center"/>
    </xf>
    <xf numFmtId="9" fontId="9" fillId="27" borderId="6" xfId="0" applyNumberFormat="1" applyFont="1" applyFill="1" applyBorder="1" applyAlignment="1">
      <alignment horizontal="center"/>
    </xf>
    <xf numFmtId="2" fontId="9" fillId="28" borderId="6" xfId="0" applyNumberFormat="1" applyFont="1" applyFill="1" applyBorder="1" applyAlignment="1">
      <alignment horizontal="right" indent="1"/>
    </xf>
    <xf numFmtId="0" fontId="9" fillId="28" borderId="4" xfId="0" applyFont="1" applyFill="1" applyBorder="1"/>
    <xf numFmtId="0" fontId="9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/>
    </xf>
    <xf numFmtId="2" fontId="9" fillId="5" borderId="6" xfId="0" applyNumberFormat="1" applyFont="1" applyFill="1" applyBorder="1" applyAlignment="1">
      <alignment horizontal="right" indent="1"/>
    </xf>
    <xf numFmtId="0" fontId="9" fillId="5" borderId="4" xfId="0" applyFont="1" applyFill="1" applyBorder="1"/>
    <xf numFmtId="0" fontId="9" fillId="5" borderId="5" xfId="0" applyFont="1" applyFill="1" applyBorder="1" applyAlignment="1">
      <alignment vertical="center"/>
    </xf>
    <xf numFmtId="10" fontId="9" fillId="5" borderId="6" xfId="0" applyNumberFormat="1" applyFont="1" applyFill="1" applyBorder="1" applyAlignment="1">
      <alignment horizontal="right" indent="1"/>
    </xf>
    <xf numFmtId="0" fontId="4" fillId="20" borderId="6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9" fillId="29" borderId="5" xfId="0" applyFont="1" applyFill="1" applyBorder="1" applyAlignment="1">
      <alignment vertical="center"/>
    </xf>
    <xf numFmtId="0" fontId="9" fillId="29" borderId="6" xfId="0" applyFont="1" applyFill="1" applyBorder="1" applyAlignment="1">
      <alignment horizontal="center" vertical="center"/>
    </xf>
    <xf numFmtId="165" fontId="9" fillId="29" borderId="6" xfId="0" applyNumberFormat="1" applyFont="1" applyFill="1" applyBorder="1" applyAlignment="1">
      <alignment horizontal="right" vertical="center" indent="1"/>
    </xf>
    <xf numFmtId="0" fontId="9" fillId="29" borderId="4" xfId="0" applyFont="1" applyFill="1" applyBorder="1" applyAlignment="1">
      <alignment vertical="center"/>
    </xf>
    <xf numFmtId="2" fontId="9" fillId="0" borderId="10" xfId="0" applyNumberFormat="1" applyFont="1" applyBorder="1" applyAlignment="1">
      <alignment horizontal="right" inden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vertical="center"/>
    </xf>
    <xf numFmtId="9" fontId="9" fillId="0" borderId="8" xfId="0" applyNumberFormat="1" applyFont="1" applyBorder="1" applyAlignment="1">
      <alignment horizontal="center"/>
    </xf>
    <xf numFmtId="2" fontId="9" fillId="20" borderId="8" xfId="0" applyNumberFormat="1" applyFont="1" applyFill="1" applyBorder="1" applyAlignment="1">
      <alignment horizontal="right" indent="1"/>
    </xf>
    <xf numFmtId="0" fontId="9" fillId="20" borderId="9" xfId="0" applyFont="1" applyFill="1" applyBorder="1"/>
    <xf numFmtId="0" fontId="4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2" fontId="9" fillId="20" borderId="10" xfId="0" applyNumberFormat="1" applyFont="1" applyFill="1" applyBorder="1" applyAlignment="1">
      <alignment horizontal="right" indent="1"/>
    </xf>
    <xf numFmtId="0" fontId="2" fillId="5" borderId="6" xfId="0" applyFont="1" applyFill="1" applyBorder="1" applyAlignment="1">
      <alignment horizontal="center"/>
    </xf>
    <xf numFmtId="9" fontId="9" fillId="5" borderId="6" xfId="0" applyNumberFormat="1" applyFont="1" applyFill="1" applyBorder="1" applyAlignment="1">
      <alignment horizontal="right" indent="1"/>
    </xf>
    <xf numFmtId="0" fontId="2" fillId="5" borderId="4" xfId="0" applyFont="1" applyFill="1" applyBorder="1" applyAlignment="1">
      <alignment horizontal="left"/>
    </xf>
    <xf numFmtId="0" fontId="9" fillId="17" borderId="6" xfId="0" applyFont="1" applyFill="1" applyBorder="1"/>
    <xf numFmtId="2" fontId="9" fillId="17" borderId="6" xfId="0" applyNumberFormat="1" applyFont="1" applyFill="1" applyBorder="1" applyAlignment="1">
      <alignment horizontal="right" indent="1"/>
    </xf>
    <xf numFmtId="0" fontId="9" fillId="17" borderId="4" xfId="0" applyFont="1" applyFill="1" applyBorder="1"/>
    <xf numFmtId="0" fontId="21" fillId="0" borderId="0" xfId="0" applyFont="1"/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30" borderId="1" xfId="0" applyFont="1" applyFill="1" applyBorder="1" applyAlignment="1">
      <alignment horizontal="center"/>
    </xf>
    <xf numFmtId="0" fontId="9" fillId="30" borderId="9" xfId="0" applyFont="1" applyFill="1" applyBorder="1" applyAlignment="1">
      <alignment horizontal="center"/>
    </xf>
    <xf numFmtId="2" fontId="9" fillId="30" borderId="3" xfId="0" applyNumberFormat="1" applyFont="1" applyFill="1" applyBorder="1" applyAlignment="1">
      <alignment horizontal="center"/>
    </xf>
    <xf numFmtId="2" fontId="9" fillId="30" borderId="4" xfId="0" applyNumberFormat="1" applyFont="1" applyFill="1" applyBorder="1" applyAlignment="1">
      <alignment horizontal="right" indent="1"/>
    </xf>
    <xf numFmtId="2" fontId="9" fillId="30" borderId="4" xfId="0" applyNumberFormat="1" applyFont="1" applyFill="1" applyBorder="1" applyAlignment="1">
      <alignment horizontal="center"/>
    </xf>
    <xf numFmtId="0" fontId="9" fillId="31" borderId="5" xfId="0" applyFont="1" applyFill="1" applyBorder="1"/>
    <xf numFmtId="0" fontId="9" fillId="31" borderId="6" xfId="0" applyFont="1" applyFill="1" applyBorder="1"/>
    <xf numFmtId="2" fontId="9" fillId="31" borderId="6" xfId="0" applyNumberFormat="1" applyFont="1" applyFill="1" applyBorder="1" applyAlignment="1">
      <alignment horizontal="right" indent="1"/>
    </xf>
    <xf numFmtId="0" fontId="9" fillId="31" borderId="4" xfId="0" applyFont="1" applyFill="1" applyBorder="1"/>
    <xf numFmtId="0" fontId="9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171" fontId="9" fillId="0" borderId="6" xfId="0" applyNumberFormat="1" applyFont="1" applyBorder="1" applyAlignment="1">
      <alignment horizontal="right" indent="1"/>
    </xf>
    <xf numFmtId="0" fontId="9" fillId="0" borderId="4" xfId="0" applyFont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32" borderId="7" xfId="0" applyFont="1" applyFill="1" applyBorder="1" applyAlignment="1">
      <alignment horizontal="left" vertical="center"/>
    </xf>
    <xf numFmtId="0" fontId="10" fillId="32" borderId="8" xfId="0" applyFont="1" applyFill="1" applyBorder="1" applyAlignment="1">
      <alignment horizontal="center" vertical="center"/>
    </xf>
    <xf numFmtId="2" fontId="9" fillId="33" borderId="0" xfId="0" applyNumberFormat="1" applyFont="1" applyFill="1" applyAlignment="1">
      <alignment horizontal="right" indent="1"/>
    </xf>
    <xf numFmtId="0" fontId="10" fillId="32" borderId="9" xfId="0" applyFont="1" applyFill="1" applyBorder="1" applyAlignment="1">
      <alignment horizontal="left" vertical="center"/>
    </xf>
    <xf numFmtId="0" fontId="6" fillId="26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right" indent="1"/>
    </xf>
    <xf numFmtId="0" fontId="2" fillId="4" borderId="4" xfId="0" applyFont="1" applyFill="1" applyBorder="1"/>
    <xf numFmtId="0" fontId="4" fillId="34" borderId="5" xfId="0" applyFont="1" applyFill="1" applyBorder="1" applyAlignment="1">
      <alignment horizontal="left" vertical="center" wrapText="1"/>
    </xf>
    <xf numFmtId="10" fontId="4" fillId="34" borderId="6" xfId="0" applyNumberFormat="1" applyFont="1" applyFill="1" applyBorder="1" applyAlignment="1">
      <alignment horizontal="center"/>
    </xf>
    <xf numFmtId="165" fontId="9" fillId="34" borderId="6" xfId="0" applyNumberFormat="1" applyFont="1" applyFill="1" applyBorder="1" applyAlignment="1">
      <alignment horizontal="right" vertical="center" indent="1"/>
    </xf>
    <xf numFmtId="0" fontId="4" fillId="34" borderId="4" xfId="0" applyFont="1" applyFill="1" applyBorder="1"/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 vertical="center" wrapText="1"/>
    </xf>
    <xf numFmtId="172" fontId="22" fillId="3" borderId="3" xfId="0" applyNumberFormat="1" applyFont="1" applyFill="1" applyBorder="1" applyAlignment="1">
      <alignment horizontal="center" vertical="center" wrapText="1"/>
    </xf>
    <xf numFmtId="11" fontId="0" fillId="0" borderId="3" xfId="0" applyNumberFormat="1" applyBorder="1" applyAlignment="1">
      <alignment horizontal="center"/>
    </xf>
    <xf numFmtId="0" fontId="26" fillId="0" borderId="13" xfId="4" applyBorder="1"/>
    <xf numFmtId="0" fontId="0" fillId="0" borderId="10" xfId="0" applyBorder="1" applyAlignment="1">
      <alignment horizontal="center"/>
    </xf>
    <xf numFmtId="0" fontId="0" fillId="0" borderId="14" xfId="0" applyBorder="1"/>
    <xf numFmtId="10" fontId="4" fillId="34" borderId="10" xfId="0" applyNumberFormat="1" applyFont="1" applyFill="1" applyBorder="1" applyAlignment="1">
      <alignment horizontal="center"/>
    </xf>
    <xf numFmtId="0" fontId="4" fillId="34" borderId="14" xfId="0" applyFont="1" applyFill="1" applyBorder="1"/>
    <xf numFmtId="3" fontId="9" fillId="34" borderId="10" xfId="0" applyNumberFormat="1" applyFont="1" applyFill="1" applyBorder="1" applyAlignment="1">
      <alignment horizontal="right" vertical="center" indent="1"/>
    </xf>
    <xf numFmtId="0" fontId="4" fillId="34" borderId="7" xfId="0" applyFont="1" applyFill="1" applyBorder="1" applyAlignment="1">
      <alignment horizontal="left" vertical="center" wrapText="1"/>
    </xf>
    <xf numFmtId="10" fontId="4" fillId="34" borderId="8" xfId="0" applyNumberFormat="1" applyFont="1" applyFill="1" applyBorder="1" applyAlignment="1">
      <alignment horizontal="center"/>
    </xf>
    <xf numFmtId="0" fontId="4" fillId="34" borderId="9" xfId="0" applyFont="1" applyFill="1" applyBorder="1"/>
    <xf numFmtId="0" fontId="4" fillId="34" borderId="13" xfId="0" applyFont="1" applyFill="1" applyBorder="1" applyAlignment="1">
      <alignment horizontal="left" vertical="center" wrapText="1"/>
    </xf>
    <xf numFmtId="2" fontId="9" fillId="34" borderId="8" xfId="0" applyNumberFormat="1" applyFont="1" applyFill="1" applyBorder="1" applyAlignment="1">
      <alignment horizontal="right" vertical="center" indent="1"/>
    </xf>
    <xf numFmtId="173" fontId="9" fillId="34" borderId="10" xfId="0" applyNumberFormat="1" applyFont="1" applyFill="1" applyBorder="1" applyAlignment="1">
      <alignment horizontal="right" vertical="center" indent="1"/>
    </xf>
    <xf numFmtId="0" fontId="4" fillId="7" borderId="5" xfId="0" applyFont="1" applyFill="1" applyBorder="1"/>
    <xf numFmtId="0" fontId="4" fillId="7" borderId="6" xfId="0" applyFont="1" applyFill="1" applyBorder="1" applyAlignment="1">
      <alignment horizontal="center"/>
    </xf>
    <xf numFmtId="2" fontId="2" fillId="26" borderId="6" xfId="0" applyNumberFormat="1" applyFont="1" applyFill="1" applyBorder="1" applyAlignment="1">
      <alignment horizontal="right" indent="1"/>
    </xf>
    <xf numFmtId="0" fontId="9" fillId="26" borderId="4" xfId="0" applyFont="1" applyFill="1" applyBorder="1"/>
    <xf numFmtId="0" fontId="2" fillId="0" borderId="7" xfId="0" applyFont="1" applyBorder="1"/>
    <xf numFmtId="0" fontId="4" fillId="0" borderId="8" xfId="0" applyFont="1" applyBorder="1"/>
    <xf numFmtId="0" fontId="4" fillId="5" borderId="5" xfId="0" applyFont="1" applyFill="1" applyBorder="1"/>
    <xf numFmtId="10" fontId="2" fillId="5" borderId="6" xfId="1" applyNumberFormat="1" applyFont="1" applyFill="1" applyBorder="1" applyAlignment="1">
      <alignment horizontal="right" indent="1"/>
    </xf>
    <xf numFmtId="0" fontId="4" fillId="5" borderId="4" xfId="0" applyFont="1" applyFill="1" applyBorder="1"/>
    <xf numFmtId="10" fontId="4" fillId="0" borderId="6" xfId="1" applyNumberFormat="1" applyFont="1" applyFill="1" applyBorder="1" applyAlignment="1">
      <alignment horizontal="right" indent="1"/>
    </xf>
    <xf numFmtId="0" fontId="2" fillId="0" borderId="9" xfId="0" applyFont="1" applyBorder="1"/>
    <xf numFmtId="0" fontId="9" fillId="26" borderId="6" xfId="0" applyFont="1" applyFill="1" applyBorder="1" applyAlignment="1">
      <alignment vertical="center"/>
    </xf>
    <xf numFmtId="0" fontId="9" fillId="26" borderId="6" xfId="0" applyFont="1" applyFill="1" applyBorder="1" applyAlignment="1">
      <alignment horizontal="center"/>
    </xf>
    <xf numFmtId="2" fontId="9" fillId="35" borderId="6" xfId="0" applyNumberFormat="1" applyFont="1" applyFill="1" applyBorder="1" applyAlignment="1">
      <alignment horizontal="right" indent="1"/>
    </xf>
    <xf numFmtId="0" fontId="0" fillId="26" borderId="6" xfId="0" applyFill="1" applyBorder="1"/>
    <xf numFmtId="1" fontId="4" fillId="26" borderId="6" xfId="0" applyNumberFormat="1" applyFont="1" applyFill="1" applyBorder="1" applyAlignment="1">
      <alignment horizontal="right" indent="1"/>
    </xf>
    <xf numFmtId="2" fontId="4" fillId="26" borderId="4" xfId="0" applyNumberFormat="1" applyFont="1" applyFill="1" applyBorder="1" applyAlignment="1">
      <alignment horizontal="left" indent="1"/>
    </xf>
    <xf numFmtId="2" fontId="2" fillId="7" borderId="6" xfId="0" applyNumberFormat="1" applyFont="1" applyFill="1" applyBorder="1" applyAlignment="1">
      <alignment horizontal="center"/>
    </xf>
    <xf numFmtId="0" fontId="2" fillId="26" borderId="6" xfId="0" applyFont="1" applyFill="1" applyBorder="1" applyAlignment="1">
      <alignment horizontal="center"/>
    </xf>
    <xf numFmtId="3" fontId="2" fillId="26" borderId="6" xfId="0" applyNumberFormat="1" applyFont="1" applyFill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4" fontId="2" fillId="0" borderId="10" xfId="0" applyNumberFormat="1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3" fillId="0" borderId="6" xfId="0" applyFont="1" applyBorder="1" applyAlignment="1">
      <alignment wrapText="1"/>
    </xf>
    <xf numFmtId="0" fontId="4" fillId="26" borderId="6" xfId="0" applyFont="1" applyFill="1" applyBorder="1"/>
    <xf numFmtId="2" fontId="4" fillId="26" borderId="6" xfId="0" applyNumberFormat="1" applyFont="1" applyFill="1" applyBorder="1" applyAlignment="1">
      <alignment horizontal="right" indent="1"/>
    </xf>
    <xf numFmtId="0" fontId="2" fillId="7" borderId="7" xfId="0" applyFont="1" applyFill="1" applyBorder="1"/>
    <xf numFmtId="0" fontId="4" fillId="7" borderId="8" xfId="0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right" indent="1"/>
    </xf>
    <xf numFmtId="0" fontId="9" fillId="36" borderId="5" xfId="0" applyFont="1" applyFill="1" applyBorder="1"/>
    <xf numFmtId="10" fontId="17" fillId="26" borderId="6" xfId="3" applyNumberFormat="1" applyFont="1" applyFill="1" applyBorder="1" applyAlignment="1">
      <alignment horizontal="center"/>
    </xf>
    <xf numFmtId="2" fontId="9" fillId="36" borderId="6" xfId="0" applyNumberFormat="1" applyFont="1" applyFill="1" applyBorder="1" applyAlignment="1">
      <alignment horizontal="right" vertical="center" indent="1"/>
    </xf>
    <xf numFmtId="10" fontId="2" fillId="5" borderId="6" xfId="1" applyNumberFormat="1" applyFont="1" applyFill="1" applyBorder="1" applyAlignment="1">
      <alignment horizontal="center"/>
    </xf>
    <xf numFmtId="10" fontId="2" fillId="26" borderId="6" xfId="0" applyNumberFormat="1" applyFont="1" applyFill="1" applyBorder="1" applyAlignment="1">
      <alignment horizontal="center"/>
    </xf>
    <xf numFmtId="0" fontId="10" fillId="37" borderId="5" xfId="0" applyFont="1" applyFill="1" applyBorder="1"/>
    <xf numFmtId="0" fontId="13" fillId="37" borderId="6" xfId="0" applyFont="1" applyFill="1" applyBorder="1" applyAlignment="1">
      <alignment horizontal="center"/>
    </xf>
    <xf numFmtId="2" fontId="9" fillId="37" borderId="6" xfId="0" applyNumberFormat="1" applyFont="1" applyFill="1" applyBorder="1" applyAlignment="1">
      <alignment horizontal="right" vertical="center" indent="1"/>
    </xf>
    <xf numFmtId="0" fontId="6" fillId="4" borderId="6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2" fontId="4" fillId="7" borderId="6" xfId="0" applyNumberFormat="1" applyFont="1" applyFill="1" applyBorder="1" applyAlignment="1">
      <alignment horizontal="right"/>
    </xf>
    <xf numFmtId="1" fontId="2" fillId="5" borderId="6" xfId="0" applyNumberFormat="1" applyFont="1" applyFill="1" applyBorder="1" applyAlignment="1">
      <alignment horizontal="right" indent="1"/>
    </xf>
    <xf numFmtId="0" fontId="9" fillId="37" borderId="5" xfId="0" applyFont="1" applyFill="1" applyBorder="1" applyAlignment="1">
      <alignment vertical="center" wrapText="1"/>
    </xf>
    <xf numFmtId="0" fontId="9" fillId="37" borderId="6" xfId="0" applyFont="1" applyFill="1" applyBorder="1" applyAlignment="1">
      <alignment horizontal="center" vertical="center"/>
    </xf>
    <xf numFmtId="11" fontId="9" fillId="37" borderId="6" xfId="0" applyNumberFormat="1" applyFont="1" applyFill="1" applyBorder="1" applyAlignment="1">
      <alignment horizontal="right" vertical="center" indent="1"/>
    </xf>
    <xf numFmtId="0" fontId="2" fillId="26" borderId="13" xfId="0" applyFont="1" applyFill="1" applyBorder="1"/>
    <xf numFmtId="0" fontId="2" fillId="26" borderId="7" xfId="0" applyFont="1" applyFill="1" applyBorder="1"/>
    <xf numFmtId="0" fontId="4" fillId="7" borderId="7" xfId="0" applyFont="1" applyFill="1" applyBorder="1" applyAlignment="1">
      <alignment wrapText="1"/>
    </xf>
    <xf numFmtId="0" fontId="2" fillId="7" borderId="8" xfId="0" applyFont="1" applyFill="1" applyBorder="1" applyAlignment="1">
      <alignment horizontal="center"/>
    </xf>
    <xf numFmtId="167" fontId="2" fillId="7" borderId="8" xfId="0" applyNumberFormat="1" applyFont="1" applyFill="1" applyBorder="1" applyAlignment="1">
      <alignment horizontal="right" indent="1"/>
    </xf>
    <xf numFmtId="0" fontId="2" fillId="7" borderId="9" xfId="0" applyFont="1" applyFill="1" applyBorder="1"/>
    <xf numFmtId="0" fontId="2" fillId="7" borderId="13" xfId="0" applyFont="1" applyFill="1" applyBorder="1"/>
    <xf numFmtId="0" fontId="2" fillId="7" borderId="10" xfId="0" applyFont="1" applyFill="1" applyBorder="1" applyAlignment="1">
      <alignment horizontal="center"/>
    </xf>
    <xf numFmtId="167" fontId="2" fillId="7" borderId="10" xfId="0" applyNumberFormat="1" applyFont="1" applyFill="1" applyBorder="1" applyAlignment="1">
      <alignment horizontal="right" indent="1"/>
    </xf>
    <xf numFmtId="0" fontId="2" fillId="7" borderId="14" xfId="0" applyFont="1" applyFill="1" applyBorder="1"/>
    <xf numFmtId="2" fontId="2" fillId="5" borderId="6" xfId="1" applyNumberFormat="1" applyFont="1" applyFill="1" applyBorder="1" applyAlignment="1">
      <alignment horizontal="right" indent="1"/>
    </xf>
    <xf numFmtId="9" fontId="4" fillId="0" borderId="6" xfId="0" applyNumberFormat="1" applyFont="1" applyBorder="1" applyAlignment="1">
      <alignment horizontal="right" indent="1"/>
    </xf>
    <xf numFmtId="0" fontId="4" fillId="7" borderId="13" xfId="0" applyFont="1" applyFill="1" applyBorder="1"/>
    <xf numFmtId="10" fontId="2" fillId="7" borderId="10" xfId="1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right" indent="1"/>
    </xf>
    <xf numFmtId="166" fontId="2" fillId="5" borderId="6" xfId="0" applyNumberFormat="1" applyFont="1" applyFill="1" applyBorder="1" applyAlignment="1">
      <alignment horizontal="right" indent="1"/>
    </xf>
    <xf numFmtId="166" fontId="9" fillId="5" borderId="6" xfId="0" applyNumberFormat="1" applyFont="1" applyFill="1" applyBorder="1" applyAlignment="1">
      <alignment horizontal="right" vertical="center" indent="1"/>
    </xf>
    <xf numFmtId="0" fontId="0" fillId="0" borderId="12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0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center"/>
    </xf>
    <xf numFmtId="2" fontId="0" fillId="0" borderId="12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/>
    <xf numFmtId="1" fontId="0" fillId="0" borderId="7" xfId="0" applyNumberFormat="1" applyBorder="1"/>
    <xf numFmtId="0" fontId="0" fillId="0" borderId="9" xfId="0" applyBorder="1" applyAlignment="1">
      <alignment horizontal="left"/>
    </xf>
    <xf numFmtId="166" fontId="0" fillId="0" borderId="8" xfId="0" applyNumberFormat="1" applyBorder="1"/>
    <xf numFmtId="0" fontId="0" fillId="0" borderId="8" xfId="0" applyBorder="1" applyAlignment="1">
      <alignment horizontal="left"/>
    </xf>
    <xf numFmtId="165" fontId="0" fillId="0" borderId="13" xfId="0" applyNumberFormat="1" applyBorder="1"/>
    <xf numFmtId="0" fontId="0" fillId="0" borderId="14" xfId="0" applyBorder="1" applyAlignment="1">
      <alignment horizontal="left"/>
    </xf>
    <xf numFmtId="165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11" fontId="0" fillId="0" borderId="5" xfId="0" applyNumberFormat="1" applyBorder="1"/>
    <xf numFmtId="11" fontId="0" fillId="0" borderId="6" xfId="0" applyNumberFormat="1" applyBorder="1"/>
    <xf numFmtId="0" fontId="0" fillId="0" borderId="6" xfId="0" applyBorder="1" applyAlignment="1">
      <alignment horizontal="left"/>
    </xf>
    <xf numFmtId="2" fontId="0" fillId="0" borderId="5" xfId="0" applyNumberFormat="1" applyBorder="1"/>
    <xf numFmtId="2" fontId="0" fillId="0" borderId="6" xfId="0" applyNumberFormat="1" applyBorder="1"/>
    <xf numFmtId="2" fontId="0" fillId="0" borderId="4" xfId="0" applyNumberFormat="1" applyBorder="1" applyAlignment="1">
      <alignment horizontal="center"/>
    </xf>
    <xf numFmtId="0" fontId="26" fillId="0" borderId="0" xfId="4" applyAlignment="1">
      <alignment vertical="center"/>
    </xf>
    <xf numFmtId="10" fontId="2" fillId="0" borderId="6" xfId="0" applyNumberFormat="1" applyFont="1" applyBorder="1" applyAlignment="1">
      <alignment horizontal="center"/>
    </xf>
    <xf numFmtId="10" fontId="2" fillId="7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right" indent="1"/>
    </xf>
    <xf numFmtId="0" fontId="13" fillId="37" borderId="6" xfId="0" applyFont="1" applyFill="1" applyBorder="1"/>
    <xf numFmtId="0" fontId="9" fillId="37" borderId="6" xfId="0" applyFont="1" applyFill="1" applyBorder="1" applyAlignment="1">
      <alignment horizontal="right" vertical="center" indent="1"/>
    </xf>
    <xf numFmtId="1" fontId="9" fillId="16" borderId="5" xfId="0" applyNumberFormat="1" applyFont="1" applyFill="1" applyBorder="1" applyAlignment="1">
      <alignment vertical="center" wrapText="1"/>
    </xf>
    <xf numFmtId="2" fontId="9" fillId="16" borderId="6" xfId="0" applyNumberFormat="1" applyFont="1" applyFill="1" applyBorder="1" applyAlignment="1">
      <alignment horizontal="right" vertical="center" indent="1"/>
    </xf>
    <xf numFmtId="0" fontId="13" fillId="16" borderId="6" xfId="0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left" vertical="center"/>
    </xf>
    <xf numFmtId="10" fontId="4" fillId="0" borderId="5" xfId="0" applyNumberFormat="1" applyFont="1" applyBorder="1"/>
    <xf numFmtId="164" fontId="4" fillId="0" borderId="6" xfId="0" applyNumberFormat="1" applyFont="1" applyBorder="1"/>
    <xf numFmtId="2" fontId="4" fillId="0" borderId="4" xfId="0" applyNumberFormat="1" applyFont="1" applyBorder="1"/>
    <xf numFmtId="0" fontId="3" fillId="0" borderId="5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26" borderId="5" xfId="0" applyFont="1" applyFill="1" applyBorder="1"/>
    <xf numFmtId="10" fontId="2" fillId="0" borderId="10" xfId="1" applyNumberFormat="1" applyFont="1" applyFill="1" applyBorder="1" applyAlignment="1">
      <alignment horizontal="center"/>
    </xf>
    <xf numFmtId="3" fontId="2" fillId="8" borderId="6" xfId="0" applyNumberFormat="1" applyFont="1" applyFill="1" applyBorder="1" applyAlignment="1">
      <alignment horizontal="right" indent="1"/>
    </xf>
    <xf numFmtId="0" fontId="4" fillId="0" borderId="7" xfId="0" applyFont="1" applyBorder="1"/>
    <xf numFmtId="10" fontId="2" fillId="0" borderId="8" xfId="1" applyNumberFormat="1" applyFont="1" applyFill="1" applyBorder="1" applyAlignment="1">
      <alignment horizontal="center"/>
    </xf>
    <xf numFmtId="9" fontId="2" fillId="6" borderId="6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24" borderId="5" xfId="0" applyFont="1" applyFill="1" applyBorder="1"/>
    <xf numFmtId="0" fontId="4" fillId="24" borderId="6" xfId="0" applyFont="1" applyFill="1" applyBorder="1" applyAlignment="1">
      <alignment horizontal="center"/>
    </xf>
    <xf numFmtId="2" fontId="2" fillId="24" borderId="6" xfId="0" applyNumberFormat="1" applyFont="1" applyFill="1" applyBorder="1" applyAlignment="1">
      <alignment horizontal="right" indent="1"/>
    </xf>
    <xf numFmtId="0" fontId="0" fillId="24" borderId="0" xfId="0" applyFill="1" applyAlignment="1">
      <alignment horizontal="right"/>
    </xf>
    <xf numFmtId="1" fontId="2" fillId="24" borderId="6" xfId="0" applyNumberFormat="1" applyFont="1" applyFill="1" applyBorder="1" applyAlignment="1">
      <alignment horizontal="right" indent="1"/>
    </xf>
    <xf numFmtId="0" fontId="6" fillId="26" borderId="6" xfId="0" applyFont="1" applyFill="1" applyBorder="1" applyAlignment="1">
      <alignment horizontal="center"/>
    </xf>
    <xf numFmtId="4" fontId="2" fillId="26" borderId="6" xfId="0" applyNumberFormat="1" applyFont="1" applyFill="1" applyBorder="1" applyAlignment="1">
      <alignment horizontal="right" indent="1"/>
    </xf>
    <xf numFmtId="0" fontId="4" fillId="26" borderId="8" xfId="0" applyFont="1" applyFill="1" applyBorder="1" applyAlignment="1">
      <alignment horizontal="center"/>
    </xf>
    <xf numFmtId="2" fontId="2" fillId="26" borderId="8" xfId="0" applyNumberFormat="1" applyFont="1" applyFill="1" applyBorder="1" applyAlignment="1">
      <alignment horizontal="right" indent="1"/>
    </xf>
    <xf numFmtId="0" fontId="4" fillId="26" borderId="10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9" fontId="2" fillId="0" borderId="8" xfId="0" applyNumberFormat="1" applyFont="1" applyBorder="1" applyAlignment="1">
      <alignment horizontal="right" indent="1"/>
    </xf>
    <xf numFmtId="0" fontId="2" fillId="24" borderId="7" xfId="0" applyFont="1" applyFill="1" applyBorder="1"/>
    <xf numFmtId="0" fontId="4" fillId="24" borderId="8" xfId="0" applyFont="1" applyFill="1" applyBorder="1" applyAlignment="1">
      <alignment horizontal="center"/>
    </xf>
    <xf numFmtId="2" fontId="2" fillId="24" borderId="8" xfId="0" applyNumberFormat="1" applyFont="1" applyFill="1" applyBorder="1" applyAlignment="1">
      <alignment horizontal="right" indent="1"/>
    </xf>
    <xf numFmtId="0" fontId="2" fillId="24" borderId="13" xfId="0" applyFont="1" applyFill="1" applyBorder="1"/>
    <xf numFmtId="0" fontId="4" fillId="24" borderId="10" xfId="0" applyFont="1" applyFill="1" applyBorder="1" applyAlignment="1">
      <alignment horizontal="center"/>
    </xf>
    <xf numFmtId="2" fontId="2" fillId="24" borderId="10" xfId="0" applyNumberFormat="1" applyFont="1" applyFill="1" applyBorder="1" applyAlignment="1">
      <alignment horizontal="right" indent="1"/>
    </xf>
    <xf numFmtId="0" fontId="4" fillId="6" borderId="6" xfId="0" applyFont="1" applyFill="1" applyBorder="1" applyAlignment="1">
      <alignment horizontal="center"/>
    </xf>
    <xf numFmtId="0" fontId="2" fillId="0" borderId="13" xfId="0" applyFont="1" applyBorder="1"/>
    <xf numFmtId="3" fontId="2" fillId="0" borderId="10" xfId="0" applyNumberFormat="1" applyFont="1" applyBorder="1" applyAlignment="1">
      <alignment horizontal="right" indent="1"/>
    </xf>
    <xf numFmtId="0" fontId="9" fillId="0" borderId="7" xfId="0" applyFont="1" applyBorder="1"/>
    <xf numFmtId="0" fontId="9" fillId="0" borderId="8" xfId="0" applyFont="1" applyBorder="1"/>
    <xf numFmtId="2" fontId="9" fillId="0" borderId="8" xfId="0" applyNumberFormat="1" applyFont="1" applyBorder="1" applyAlignment="1">
      <alignment horizontal="right" indent="1"/>
    </xf>
    <xf numFmtId="0" fontId="9" fillId="0" borderId="13" xfId="0" applyFont="1" applyBorder="1"/>
    <xf numFmtId="0" fontId="9" fillId="0" borderId="10" xfId="0" applyFont="1" applyBorder="1"/>
    <xf numFmtId="0" fontId="9" fillId="0" borderId="6" xfId="0" applyFont="1" applyBorder="1"/>
    <xf numFmtId="1" fontId="9" fillId="0" borderId="6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 applyAlignment="1">
      <alignment horizontal="center"/>
    </xf>
    <xf numFmtId="2" fontId="4" fillId="5" borderId="6" xfId="0" applyNumberFormat="1" applyFont="1" applyFill="1" applyBorder="1" applyAlignment="1">
      <alignment horizontal="right" indent="1"/>
    </xf>
    <xf numFmtId="0" fontId="13" fillId="16" borderId="6" xfId="0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right" indent="1"/>
    </xf>
    <xf numFmtId="166" fontId="2" fillId="0" borderId="10" xfId="0" applyNumberFormat="1" applyFont="1" applyBorder="1" applyAlignment="1">
      <alignment horizontal="right" indent="1"/>
    </xf>
    <xf numFmtId="2" fontId="17" fillId="0" borderId="6" xfId="0" applyNumberFormat="1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3" fontId="9" fillId="17" borderId="6" xfId="0" applyNumberFormat="1" applyFont="1" applyFill="1" applyBorder="1" applyAlignment="1">
      <alignment horizontal="right" indent="1"/>
    </xf>
    <xf numFmtId="2" fontId="2" fillId="26" borderId="10" xfId="0" applyNumberFormat="1" applyFont="1" applyFill="1" applyBorder="1" applyAlignment="1">
      <alignment horizontal="right" indent="1"/>
    </xf>
    <xf numFmtId="166" fontId="2" fillId="24" borderId="6" xfId="0" applyNumberFormat="1" applyFont="1" applyFill="1" applyBorder="1" applyAlignment="1">
      <alignment horizontal="right" indent="1"/>
    </xf>
    <xf numFmtId="9" fontId="4" fillId="0" borderId="10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left"/>
    </xf>
    <xf numFmtId="165" fontId="0" fillId="0" borderId="5" xfId="0" applyNumberFormat="1" applyBorder="1"/>
    <xf numFmtId="0" fontId="2" fillId="9" borderId="6" xfId="0" applyFont="1" applyFill="1" applyBorder="1" applyAlignment="1">
      <alignment horizontal="left"/>
    </xf>
    <xf numFmtId="0" fontId="10" fillId="36" borderId="6" xfId="0" applyFont="1" applyFill="1" applyBorder="1"/>
    <xf numFmtId="2" fontId="4" fillId="7" borderId="6" xfId="0" applyNumberFormat="1" applyFont="1" applyFill="1" applyBorder="1" applyAlignment="1">
      <alignment horizontal="left" indent="1"/>
    </xf>
    <xf numFmtId="0" fontId="4" fillId="7" borderId="8" xfId="0" applyFont="1" applyFill="1" applyBorder="1"/>
    <xf numFmtId="0" fontId="2" fillId="6" borderId="6" xfId="0" applyFont="1" applyFill="1" applyBorder="1" applyAlignment="1">
      <alignment horizontal="left"/>
    </xf>
    <xf numFmtId="0" fontId="4" fillId="7" borderId="6" xfId="0" applyFont="1" applyFill="1" applyBorder="1"/>
    <xf numFmtId="0" fontId="2" fillId="26" borderId="6" xfId="0" applyFont="1" applyFill="1" applyBorder="1"/>
    <xf numFmtId="2" fontId="4" fillId="0" borderId="6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9" fillId="37" borderId="6" xfId="0" applyFont="1" applyFill="1" applyBorder="1" applyAlignment="1">
      <alignment horizontal="left" vertical="center"/>
    </xf>
    <xf numFmtId="0" fontId="10" fillId="16" borderId="6" xfId="0" applyFont="1" applyFill="1" applyBorder="1"/>
    <xf numFmtId="0" fontId="2" fillId="0" borderId="6" xfId="0" applyFont="1" applyBorder="1" applyAlignment="1">
      <alignment vertical="center"/>
    </xf>
    <xf numFmtId="2" fontId="10" fillId="37" borderId="6" xfId="0" applyNumberFormat="1" applyFont="1" applyFill="1" applyBorder="1" applyAlignment="1">
      <alignment horizontal="left"/>
    </xf>
    <xf numFmtId="0" fontId="10" fillId="38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7" borderId="10" xfId="0" applyFont="1" applyFill="1" applyBorder="1"/>
    <xf numFmtId="2" fontId="4" fillId="5" borderId="6" xfId="0" applyNumberFormat="1" applyFont="1" applyFill="1" applyBorder="1"/>
    <xf numFmtId="0" fontId="4" fillId="5" borderId="6" xfId="0" applyFont="1" applyFill="1" applyBorder="1"/>
    <xf numFmtId="2" fontId="4" fillId="6" borderId="6" xfId="0" applyNumberFormat="1" applyFont="1" applyFill="1" applyBorder="1"/>
    <xf numFmtId="0" fontId="2" fillId="26" borderId="6" xfId="0" applyFont="1" applyFill="1" applyBorder="1" applyAlignment="1">
      <alignment vertical="center"/>
    </xf>
    <xf numFmtId="0" fontId="2" fillId="24" borderId="6" xfId="0" applyFont="1" applyFill="1" applyBorder="1"/>
    <xf numFmtId="0" fontId="2" fillId="26" borderId="8" xfId="0" applyFont="1" applyFill="1" applyBorder="1"/>
    <xf numFmtId="0" fontId="2" fillId="26" borderId="10" xfId="0" applyFont="1" applyFill="1" applyBorder="1"/>
    <xf numFmtId="0" fontId="2" fillId="24" borderId="8" xfId="0" applyFont="1" applyFill="1" applyBorder="1"/>
    <xf numFmtId="0" fontId="2" fillId="24" borderId="10" xfId="0" applyFont="1" applyFill="1" applyBorder="1"/>
    <xf numFmtId="0" fontId="2" fillId="6" borderId="6" xfId="0" applyFont="1" applyFill="1" applyBorder="1"/>
    <xf numFmtId="0" fontId="17" fillId="4" borderId="4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39" borderId="5" xfId="0" applyFont="1" applyFill="1" applyBorder="1" applyAlignment="1">
      <alignment vertical="center" wrapText="1"/>
    </xf>
    <xf numFmtId="0" fontId="9" fillId="39" borderId="6" xfId="0" applyFont="1" applyFill="1" applyBorder="1" applyAlignment="1">
      <alignment horizontal="center"/>
    </xf>
    <xf numFmtId="4" fontId="9" fillId="39" borderId="6" xfId="0" applyNumberFormat="1" applyFont="1" applyFill="1" applyBorder="1" applyAlignment="1">
      <alignment horizontal="right" indent="1"/>
    </xf>
    <xf numFmtId="0" fontId="9" fillId="39" borderId="6" xfId="0" applyFont="1" applyFill="1" applyBorder="1"/>
    <xf numFmtId="0" fontId="0" fillId="0" borderId="6" xfId="0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66" fontId="17" fillId="4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20" fillId="4" borderId="6" xfId="0" applyFont="1" applyFill="1" applyBorder="1" applyAlignment="1">
      <alignment horizontal="right" vertical="center"/>
    </xf>
    <xf numFmtId="0" fontId="21" fillId="0" borderId="5" xfId="0" applyFont="1" applyBorder="1" applyAlignment="1">
      <alignment horizontal="left" vertical="center"/>
    </xf>
    <xf numFmtId="0" fontId="10" fillId="0" borderId="6" xfId="0" applyFont="1" applyBorder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31" fillId="0" borderId="6" xfId="0" applyFont="1" applyBorder="1"/>
    <xf numFmtId="0" fontId="4" fillId="0" borderId="6" xfId="0" applyFont="1" applyBorder="1" applyAlignment="1">
      <alignment vertical="center"/>
    </xf>
    <xf numFmtId="169" fontId="2" fillId="7" borderId="6" xfId="0" applyNumberFormat="1" applyFont="1" applyFill="1" applyBorder="1" applyAlignment="1">
      <alignment horizontal="right" vertical="center" indent="1"/>
    </xf>
    <xf numFmtId="0" fontId="2" fillId="7" borderId="6" xfId="0" applyFont="1" applyFill="1" applyBorder="1" applyAlignment="1">
      <alignment vertical="center"/>
    </xf>
    <xf numFmtId="0" fontId="4" fillId="7" borderId="10" xfId="0" applyFont="1" applyFill="1" applyBorder="1"/>
    <xf numFmtId="9" fontId="4" fillId="7" borderId="6" xfId="1" applyFont="1" applyFill="1" applyBorder="1" applyAlignment="1">
      <alignment horizontal="right" inden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6" fillId="6" borderId="6" xfId="0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right" indent="1"/>
    </xf>
    <xf numFmtId="0" fontId="31" fillId="0" borderId="6" xfId="0" applyFont="1" applyBorder="1" applyAlignment="1">
      <alignment horizontal="center"/>
    </xf>
    <xf numFmtId="0" fontId="0" fillId="24" borderId="6" xfId="0" applyFill="1" applyBorder="1"/>
    <xf numFmtId="9" fontId="2" fillId="24" borderId="6" xfId="0" applyNumberFormat="1" applyFont="1" applyFill="1" applyBorder="1" applyAlignment="1">
      <alignment horizontal="right" indent="1"/>
    </xf>
    <xf numFmtId="0" fontId="4" fillId="24" borderId="4" xfId="0" applyFont="1" applyFill="1" applyBorder="1"/>
    <xf numFmtId="9" fontId="2" fillId="0" borderId="6" xfId="0" applyNumberFormat="1" applyFont="1" applyBorder="1" applyAlignment="1">
      <alignment horizontal="center"/>
    </xf>
    <xf numFmtId="2" fontId="4" fillId="7" borderId="6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right" indent="1"/>
    </xf>
    <xf numFmtId="10" fontId="6" fillId="26" borderId="6" xfId="0" applyNumberFormat="1" applyFont="1" applyFill="1" applyBorder="1" applyAlignment="1">
      <alignment horizontal="center"/>
    </xf>
    <xf numFmtId="0" fontId="4" fillId="26" borderId="10" xfId="0" applyFont="1" applyFill="1" applyBorder="1"/>
    <xf numFmtId="10" fontId="4" fillId="26" borderId="10" xfId="1" applyNumberFormat="1" applyFont="1" applyFill="1" applyBorder="1" applyAlignment="1">
      <alignment horizontal="right" indent="1"/>
    </xf>
    <xf numFmtId="0" fontId="9" fillId="40" borderId="5" xfId="0" applyFont="1" applyFill="1" applyBorder="1" applyAlignment="1">
      <alignment vertical="center" wrapText="1"/>
    </xf>
    <xf numFmtId="0" fontId="9" fillId="40" borderId="6" xfId="0" applyFont="1" applyFill="1" applyBorder="1" applyAlignment="1">
      <alignment horizontal="center"/>
    </xf>
    <xf numFmtId="3" fontId="9" fillId="40" borderId="6" xfId="0" applyNumberFormat="1" applyFont="1" applyFill="1" applyBorder="1" applyAlignment="1">
      <alignment horizontal="right" indent="1"/>
    </xf>
    <xf numFmtId="0" fontId="9" fillId="40" borderId="4" xfId="0" applyFont="1" applyFill="1" applyBorder="1"/>
    <xf numFmtId="0" fontId="4" fillId="5" borderId="10" xfId="0" applyFont="1" applyFill="1" applyBorder="1" applyAlignment="1">
      <alignment horizontal="center"/>
    </xf>
    <xf numFmtId="9" fontId="4" fillId="5" borderId="10" xfId="1" applyFont="1" applyFill="1" applyBorder="1" applyAlignment="1">
      <alignment horizontal="right" indent="1"/>
    </xf>
    <xf numFmtId="2" fontId="4" fillId="24" borderId="6" xfId="0" applyNumberFormat="1" applyFont="1" applyFill="1" applyBorder="1" applyAlignment="1">
      <alignment horizontal="right" indent="1"/>
    </xf>
    <xf numFmtId="1" fontId="10" fillId="0" borderId="6" xfId="0" applyNumberFormat="1" applyFont="1" applyBorder="1" applyAlignment="1">
      <alignment horizontal="right" indent="1"/>
    </xf>
    <xf numFmtId="2" fontId="4" fillId="0" borderId="6" xfId="0" applyNumberFormat="1" applyFont="1" applyBorder="1" applyAlignment="1">
      <alignment horizontal="right" vertical="center" indent="1"/>
    </xf>
    <xf numFmtId="168" fontId="4" fillId="0" borderId="10" xfId="0" applyNumberFormat="1" applyFont="1" applyBorder="1" applyAlignment="1">
      <alignment horizontal="right" vertical="center" indent="1"/>
    </xf>
    <xf numFmtId="166" fontId="4" fillId="0" borderId="6" xfId="0" applyNumberFormat="1" applyFont="1" applyBorder="1" applyAlignment="1">
      <alignment horizontal="right" indent="1"/>
    </xf>
    <xf numFmtId="168" fontId="4" fillId="0" borderId="6" xfId="0" applyNumberFormat="1" applyFont="1" applyBorder="1" applyAlignment="1">
      <alignment horizontal="right" vertical="center" indent="1"/>
    </xf>
    <xf numFmtId="173" fontId="9" fillId="0" borderId="10" xfId="0" applyNumberFormat="1" applyFont="1" applyBorder="1" applyAlignment="1">
      <alignment horizontal="right" vertical="center" indent="1"/>
    </xf>
    <xf numFmtId="1" fontId="4" fillId="0" borderId="6" xfId="0" applyNumberFormat="1" applyFont="1" applyBorder="1" applyAlignment="1">
      <alignment horizontal="right" indent="1"/>
    </xf>
    <xf numFmtId="9" fontId="2" fillId="0" borderId="6" xfId="0" applyNumberFormat="1" applyFont="1" applyBorder="1" applyAlignment="1">
      <alignment horizontal="right" indent="1"/>
    </xf>
    <xf numFmtId="2" fontId="2" fillId="0" borderId="6" xfId="1" applyNumberFormat="1" applyFont="1" applyFill="1" applyBorder="1" applyAlignment="1">
      <alignment horizontal="right" indent="1"/>
    </xf>
    <xf numFmtId="167" fontId="2" fillId="0" borderId="8" xfId="0" applyNumberFormat="1" applyFont="1" applyBorder="1" applyAlignment="1">
      <alignment horizontal="right" indent="1"/>
    </xf>
    <xf numFmtId="10" fontId="9" fillId="0" borderId="6" xfId="0" applyNumberFormat="1" applyFont="1" applyBorder="1" applyAlignment="1">
      <alignment horizontal="right" indent="1"/>
    </xf>
    <xf numFmtId="10" fontId="2" fillId="0" borderId="6" xfId="1" applyNumberFormat="1" applyFont="1" applyFill="1" applyBorder="1" applyAlignment="1">
      <alignment horizontal="right" indent="1"/>
    </xf>
    <xf numFmtId="2" fontId="9" fillId="0" borderId="6" xfId="0" applyNumberFormat="1" applyFont="1" applyBorder="1" applyAlignment="1">
      <alignment horizontal="right" vertical="center" indent="1"/>
    </xf>
    <xf numFmtId="165" fontId="9" fillId="0" borderId="6" xfId="0" applyNumberFormat="1" applyFont="1" applyBorder="1" applyAlignment="1">
      <alignment horizontal="right" vertical="center" indent="1"/>
    </xf>
    <xf numFmtId="2" fontId="9" fillId="0" borderId="8" xfId="0" applyNumberFormat="1" applyFont="1" applyBorder="1" applyAlignment="1">
      <alignment horizontal="right" vertical="center" indent="1"/>
    </xf>
    <xf numFmtId="3" fontId="9" fillId="0" borderId="10" xfId="0" applyNumberFormat="1" applyFont="1" applyBorder="1" applyAlignment="1">
      <alignment horizontal="right" vertical="center" indent="1"/>
    </xf>
    <xf numFmtId="9" fontId="9" fillId="0" borderId="6" xfId="0" applyNumberFormat="1" applyFont="1" applyBorder="1" applyAlignment="1">
      <alignment horizontal="right" indent="1"/>
    </xf>
    <xf numFmtId="2" fontId="9" fillId="0" borderId="4" xfId="0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2" fontId="4" fillId="0" borderId="3" xfId="0" applyNumberFormat="1" applyFont="1" applyBorder="1" applyAlignment="1">
      <alignment horizontal="right" indent="1"/>
    </xf>
    <xf numFmtId="0" fontId="2" fillId="9" borderId="8" xfId="0" applyFont="1" applyFill="1" applyBorder="1" applyAlignment="1">
      <alignment vertical="center"/>
    </xf>
    <xf numFmtId="0" fontId="2" fillId="24" borderId="6" xfId="0" applyFont="1" applyFill="1" applyBorder="1" applyAlignment="1">
      <alignment horizontal="left"/>
    </xf>
    <xf numFmtId="2" fontId="4" fillId="0" borderId="5" xfId="0" applyNumberFormat="1" applyFont="1" applyBorder="1" applyAlignment="1">
      <alignment horizontal="right" indent="1"/>
    </xf>
    <xf numFmtId="2" fontId="9" fillId="0" borderId="5" xfId="0" applyNumberFormat="1" applyFont="1" applyBorder="1" applyAlignment="1">
      <alignment horizontal="right" indent="1"/>
    </xf>
    <xf numFmtId="2" fontId="9" fillId="0" borderId="3" xfId="0" applyNumberFormat="1" applyFont="1" applyBorder="1" applyAlignment="1">
      <alignment horizontal="right" vertical="center" indent="1"/>
    </xf>
    <xf numFmtId="0" fontId="2" fillId="0" borderId="12" xfId="0" applyFont="1" applyBorder="1"/>
    <xf numFmtId="1" fontId="2" fillId="0" borderId="12" xfId="0" applyNumberFormat="1" applyFont="1" applyBorder="1"/>
    <xf numFmtId="1" fontId="2" fillId="0" borderId="0" xfId="0" applyNumberFormat="1" applyFont="1"/>
    <xf numFmtId="0" fontId="0" fillId="0" borderId="12" xfId="0" applyBorder="1"/>
    <xf numFmtId="4" fontId="0" fillId="0" borderId="12" xfId="0" applyNumberFormat="1" applyBorder="1"/>
    <xf numFmtId="0" fontId="0" fillId="0" borderId="0" xfId="0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indent="1"/>
    </xf>
    <xf numFmtId="1" fontId="4" fillId="0" borderId="5" xfId="0" applyNumberFormat="1" applyFont="1" applyBorder="1" applyAlignment="1">
      <alignment horizontal="right" indent="1"/>
    </xf>
    <xf numFmtId="2" fontId="9" fillId="0" borderId="5" xfId="0" applyNumberFormat="1" applyFont="1" applyBorder="1" applyAlignment="1">
      <alignment horizontal="right" vertical="center" indent="1"/>
    </xf>
    <xf numFmtId="9" fontId="4" fillId="0" borderId="5" xfId="1" applyFont="1" applyFill="1" applyBorder="1" applyAlignment="1">
      <alignment horizontal="right" indent="1"/>
    </xf>
    <xf numFmtId="2" fontId="2" fillId="0" borderId="5" xfId="0" applyNumberFormat="1" applyFont="1" applyBorder="1" applyAlignment="1">
      <alignment horizontal="right" indent="1"/>
    </xf>
    <xf numFmtId="2" fontId="4" fillId="0" borderId="7" xfId="0" applyNumberFormat="1" applyFont="1" applyBorder="1" applyAlignment="1">
      <alignment horizontal="right" indent="1"/>
    </xf>
    <xf numFmtId="10" fontId="4" fillId="0" borderId="13" xfId="1" applyNumberFormat="1" applyFont="1" applyFill="1" applyBorder="1" applyAlignment="1">
      <alignment horizontal="right" indent="1"/>
    </xf>
    <xf numFmtId="9" fontId="4" fillId="0" borderId="13" xfId="1" applyFont="1" applyFill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4" fontId="9" fillId="0" borderId="5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4" fontId="2" fillId="0" borderId="13" xfId="0" applyNumberFormat="1" applyFont="1" applyBorder="1" applyAlignment="1">
      <alignment horizontal="right" indent="1"/>
    </xf>
    <xf numFmtId="11" fontId="9" fillId="0" borderId="5" xfId="0" applyNumberFormat="1" applyFont="1" applyBorder="1" applyAlignment="1">
      <alignment horizontal="right" vertical="center" indent="1"/>
    </xf>
    <xf numFmtId="169" fontId="2" fillId="0" borderId="5" xfId="0" applyNumberFormat="1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4" fontId="4" fillId="0" borderId="5" xfId="0" applyNumberFormat="1" applyFont="1" applyBorder="1" applyAlignment="1">
      <alignment horizontal="right" indent="1"/>
    </xf>
    <xf numFmtId="4" fontId="2" fillId="0" borderId="5" xfId="0" applyNumberFormat="1" applyFont="1" applyBorder="1" applyAlignment="1">
      <alignment horizontal="right" indent="1"/>
    </xf>
    <xf numFmtId="9" fontId="4" fillId="0" borderId="5" xfId="0" applyNumberFormat="1" applyFont="1" applyBorder="1" applyAlignment="1">
      <alignment horizontal="right" indent="1"/>
    </xf>
    <xf numFmtId="1" fontId="2" fillId="0" borderId="13" xfId="0" applyNumberFormat="1" applyFont="1" applyBorder="1" applyAlignment="1">
      <alignment horizontal="right" indent="1"/>
    </xf>
    <xf numFmtId="166" fontId="2" fillId="0" borderId="5" xfId="0" applyNumberFormat="1" applyFont="1" applyBorder="1" applyAlignment="1">
      <alignment horizontal="right" indent="1"/>
    </xf>
    <xf numFmtId="166" fontId="9" fillId="0" borderId="5" xfId="0" applyNumberFormat="1" applyFont="1" applyBorder="1" applyAlignment="1">
      <alignment horizontal="right" vertical="center" indent="1"/>
    </xf>
    <xf numFmtId="2" fontId="2" fillId="0" borderId="7" xfId="0" applyNumberFormat="1" applyFont="1" applyBorder="1" applyAlignment="1">
      <alignment horizontal="right" indent="1"/>
    </xf>
    <xf numFmtId="166" fontId="2" fillId="0" borderId="13" xfId="0" applyNumberFormat="1" applyFont="1" applyBorder="1" applyAlignment="1">
      <alignment horizontal="right" indent="1"/>
    </xf>
    <xf numFmtId="4" fontId="2" fillId="0" borderId="12" xfId="0" applyNumberFormat="1" applyFont="1" applyBorder="1" applyAlignment="1">
      <alignment horizontal="right" indent="1"/>
    </xf>
    <xf numFmtId="2" fontId="2" fillId="0" borderId="13" xfId="0" applyNumberFormat="1" applyFont="1" applyBorder="1" applyAlignment="1">
      <alignment horizontal="right" indent="1"/>
    </xf>
    <xf numFmtId="9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2" fontId="9" fillId="0" borderId="13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1"/>
    </xf>
    <xf numFmtId="1" fontId="9" fillId="0" borderId="5" xfId="0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0" fontId="18" fillId="0" borderId="3" xfId="0" applyFont="1" applyBorder="1" applyAlignment="1">
      <alignment horizontal="center" vertical="center" wrapText="1"/>
    </xf>
    <xf numFmtId="166" fontId="32" fillId="0" borderId="5" xfId="0" applyNumberFormat="1" applyFont="1" applyBorder="1" applyAlignment="1">
      <alignment horizontal="center"/>
    </xf>
    <xf numFmtId="166" fontId="36" fillId="4" borderId="5" xfId="0" applyNumberFormat="1" applyFont="1" applyFill="1" applyBorder="1" applyAlignment="1">
      <alignment horizontal="center"/>
    </xf>
    <xf numFmtId="166" fontId="17" fillId="4" borderId="6" xfId="0" applyNumberFormat="1" applyFont="1" applyFill="1" applyBorder="1" applyAlignment="1">
      <alignment horizontal="left"/>
    </xf>
    <xf numFmtId="2" fontId="36" fillId="4" borderId="6" xfId="0" applyNumberFormat="1" applyFont="1" applyFill="1" applyBorder="1" applyAlignment="1">
      <alignment horizontal="right" indent="1"/>
    </xf>
    <xf numFmtId="166" fontId="36" fillId="4" borderId="6" xfId="0" applyNumberFormat="1" applyFont="1" applyFill="1" applyBorder="1"/>
    <xf numFmtId="2" fontId="32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2" fontId="17" fillId="0" borderId="6" xfId="0" applyNumberFormat="1" applyFont="1" applyBorder="1" applyAlignment="1">
      <alignment horizontal="right" indent="1"/>
    </xf>
    <xf numFmtId="0" fontId="17" fillId="0" borderId="6" xfId="0" applyFont="1" applyBorder="1"/>
    <xf numFmtId="173" fontId="9" fillId="0" borderId="6" xfId="0" applyNumberFormat="1" applyFont="1" applyBorder="1"/>
    <xf numFmtId="173" fontId="9" fillId="0" borderId="6" xfId="0" applyNumberFormat="1" applyFont="1" applyBorder="1" applyAlignment="1">
      <alignment horizontal="right" indent="1"/>
    </xf>
    <xf numFmtId="0" fontId="0" fillId="0" borderId="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wrapText="1"/>
    </xf>
    <xf numFmtId="2" fontId="32" fillId="0" borderId="5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right" vertical="center" indent="1"/>
    </xf>
    <xf numFmtId="2" fontId="17" fillId="0" borderId="5" xfId="0" applyNumberFormat="1" applyFont="1" applyBorder="1" applyAlignment="1">
      <alignment horizontal="right" indent="1"/>
    </xf>
    <xf numFmtId="173" fontId="9" fillId="0" borderId="5" xfId="0" applyNumberFormat="1" applyFont="1" applyBorder="1" applyAlignment="1">
      <alignment horizontal="right" indent="1"/>
    </xf>
    <xf numFmtId="0" fontId="3" fillId="0" borderId="6" xfId="0" applyFont="1" applyBorder="1" applyAlignment="1">
      <alignment vertical="center"/>
    </xf>
    <xf numFmtId="2" fontId="17" fillId="0" borderId="6" xfId="0" applyNumberFormat="1" applyFont="1" applyBorder="1" applyAlignment="1">
      <alignment horizontal="right" vertical="center" indent="1"/>
    </xf>
    <xf numFmtId="0" fontId="17" fillId="0" borderId="4" xfId="0" applyFont="1" applyBorder="1" applyAlignment="1">
      <alignment vertical="center"/>
    </xf>
    <xf numFmtId="0" fontId="10" fillId="0" borderId="6" xfId="0" applyFont="1" applyBorder="1" applyAlignment="1">
      <alignment horizontal="right" indent="1"/>
    </xf>
    <xf numFmtId="2" fontId="20" fillId="0" borderId="5" xfId="0" applyNumberFormat="1" applyFont="1" applyBorder="1" applyAlignment="1">
      <alignment horizontal="center" wrapText="1"/>
    </xf>
    <xf numFmtId="2" fontId="0" fillId="0" borderId="5" xfId="0" applyNumberFormat="1" applyBorder="1" applyAlignment="1">
      <alignment horizontal="center"/>
    </xf>
    <xf numFmtId="2" fontId="17" fillId="4" borderId="6" xfId="0" applyNumberFormat="1" applyFont="1" applyFill="1" applyBorder="1" applyAlignment="1">
      <alignment horizontal="right" vertical="center"/>
    </xf>
    <xf numFmtId="2" fontId="17" fillId="0" borderId="5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indent="1"/>
    </xf>
    <xf numFmtId="2" fontId="9" fillId="0" borderId="1" xfId="0" applyNumberFormat="1" applyFont="1" applyBorder="1" applyAlignment="1">
      <alignment horizontal="right" vertical="center" indent="1"/>
    </xf>
    <xf numFmtId="2" fontId="9" fillId="0" borderId="2" xfId="0" applyNumberFormat="1" applyFont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9" fillId="0" borderId="9" xfId="0" applyFont="1" applyBorder="1" applyAlignment="1">
      <alignment horizontal="right" indent="1"/>
    </xf>
    <xf numFmtId="2" fontId="2" fillId="0" borderId="3" xfId="0" applyNumberFormat="1" applyFont="1" applyBorder="1" applyAlignment="1">
      <alignment horizontal="right" indent="1"/>
    </xf>
    <xf numFmtId="2" fontId="0" fillId="0" borderId="13" xfId="0" applyNumberFormat="1" applyBorder="1" applyAlignment="1">
      <alignment horizontal="center" wrapText="1"/>
    </xf>
    <xf numFmtId="2" fontId="9" fillId="0" borderId="14" xfId="0" applyNumberFormat="1" applyFont="1" applyBorder="1" applyAlignment="1">
      <alignment horizontal="right" indent="1"/>
    </xf>
    <xf numFmtId="0" fontId="9" fillId="0" borderId="5" xfId="0" applyFont="1" applyBorder="1" applyAlignment="1">
      <alignment horizontal="right" indent="1"/>
    </xf>
    <xf numFmtId="2" fontId="4" fillId="0" borderId="5" xfId="0" applyNumberFormat="1" applyFont="1" applyBorder="1" applyAlignment="1">
      <alignment horizontal="left"/>
    </xf>
    <xf numFmtId="0" fontId="9" fillId="7" borderId="5" xfId="0" applyFont="1" applyFill="1" applyBorder="1"/>
    <xf numFmtId="0" fontId="9" fillId="7" borderId="6" xfId="0" applyFont="1" applyFill="1" applyBorder="1" applyAlignment="1">
      <alignment horizontal="center"/>
    </xf>
    <xf numFmtId="2" fontId="9" fillId="7" borderId="6" xfId="0" applyNumberFormat="1" applyFont="1" applyFill="1" applyBorder="1" applyAlignment="1">
      <alignment horizontal="right" indent="1"/>
    </xf>
    <xf numFmtId="0" fontId="9" fillId="7" borderId="6" xfId="0" applyFont="1" applyFill="1" applyBorder="1"/>
    <xf numFmtId="0" fontId="9" fillId="7" borderId="5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left"/>
    </xf>
    <xf numFmtId="0" fontId="9" fillId="7" borderId="4" xfId="0" applyFont="1" applyFill="1" applyBorder="1"/>
    <xf numFmtId="0" fontId="9" fillId="7" borderId="4" xfId="0" applyFont="1" applyFill="1" applyBorder="1" applyAlignment="1">
      <alignment horizontal="left"/>
    </xf>
    <xf numFmtId="10" fontId="4" fillId="7" borderId="5" xfId="0" applyNumberFormat="1" applyFont="1" applyFill="1" applyBorder="1"/>
    <xf numFmtId="164" fontId="4" fillId="7" borderId="6" xfId="0" applyNumberFormat="1" applyFont="1" applyFill="1" applyBorder="1"/>
    <xf numFmtId="2" fontId="4" fillId="7" borderId="4" xfId="0" applyNumberFormat="1" applyFont="1" applyFill="1" applyBorder="1"/>
    <xf numFmtId="0" fontId="3" fillId="0" borderId="12" xfId="0" applyFont="1" applyBorder="1"/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8" xfId="0" applyFont="1" applyBorder="1" applyAlignment="1">
      <alignment horizontal="right" indent="1"/>
    </xf>
    <xf numFmtId="0" fontId="2" fillId="0" borderId="14" xfId="0" applyFont="1" applyBorder="1"/>
    <xf numFmtId="0" fontId="3" fillId="0" borderId="13" xfId="0" applyFont="1" applyBorder="1"/>
    <xf numFmtId="0" fontId="17" fillId="0" borderId="1" xfId="0" applyFont="1" applyBorder="1"/>
    <xf numFmtId="0" fontId="9" fillId="10" borderId="3" xfId="0" applyFont="1" applyFill="1" applyBorder="1"/>
    <xf numFmtId="0" fontId="9" fillId="12" borderId="3" xfId="0" applyFont="1" applyFill="1" applyBorder="1"/>
    <xf numFmtId="0" fontId="10" fillId="15" borderId="3" xfId="0" applyFont="1" applyFill="1" applyBorder="1"/>
    <xf numFmtId="0" fontId="17" fillId="0" borderId="15" xfId="0" applyFont="1" applyBorder="1"/>
    <xf numFmtId="0" fontId="4" fillId="4" borderId="3" xfId="0" applyFont="1" applyFill="1" applyBorder="1"/>
    <xf numFmtId="0" fontId="9" fillId="16" borderId="3" xfId="0" applyFont="1" applyFill="1" applyBorder="1"/>
    <xf numFmtId="0" fontId="9" fillId="17" borderId="3" xfId="0" applyFont="1" applyFill="1" applyBorder="1"/>
    <xf numFmtId="0" fontId="10" fillId="0" borderId="3" xfId="0" applyFont="1" applyBorder="1"/>
    <xf numFmtId="0" fontId="21" fillId="0" borderId="4" xfId="0" applyFont="1" applyBorder="1" applyAlignment="1">
      <alignment horizontal="center" vertical="center"/>
    </xf>
    <xf numFmtId="0" fontId="6" fillId="0" borderId="8" xfId="0" applyFont="1" applyBorder="1"/>
    <xf numFmtId="0" fontId="3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/>
    </xf>
    <xf numFmtId="0" fontId="2" fillId="0" borderId="3" xfId="0" applyFont="1" applyBorder="1"/>
    <xf numFmtId="0" fontId="13" fillId="0" borderId="4" xfId="0" applyFont="1" applyBorder="1" applyAlignment="1">
      <alignment horizontal="right"/>
    </xf>
    <xf numFmtId="0" fontId="13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174" fontId="4" fillId="24" borderId="6" xfId="0" applyNumberFormat="1" applyFont="1" applyFill="1" applyBorder="1" applyAlignment="1">
      <alignment horizontal="right" indent="1"/>
    </xf>
    <xf numFmtId="0" fontId="6" fillId="24" borderId="6" xfId="0" applyFont="1" applyFill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174" fontId="4" fillId="0" borderId="3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0" fontId="10" fillId="0" borderId="8" xfId="0" applyFont="1" applyBorder="1"/>
    <xf numFmtId="165" fontId="18" fillId="0" borderId="1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6" fillId="0" borderId="3" xfId="4" applyBorder="1"/>
    <xf numFmtId="0" fontId="1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1" fontId="0" fillId="0" borderId="0" xfId="0" applyNumberFormat="1"/>
    <xf numFmtId="175" fontId="2" fillId="26" borderId="10" xfId="5" applyNumberFormat="1" applyFont="1" applyFill="1" applyBorder="1" applyAlignment="1">
      <alignment horizontal="right" indent="1"/>
    </xf>
    <xf numFmtId="0" fontId="4" fillId="26" borderId="13" xfId="0" applyFont="1" applyFill="1" applyBorder="1"/>
    <xf numFmtId="3" fontId="4" fillId="26" borderId="8" xfId="0" applyNumberFormat="1" applyFont="1" applyFill="1" applyBorder="1" applyAlignment="1">
      <alignment horizontal="right" indent="1"/>
    </xf>
    <xf numFmtId="175" fontId="2" fillId="5" borderId="6" xfId="5" applyNumberFormat="1" applyFont="1" applyFill="1" applyBorder="1" applyAlignment="1">
      <alignment horizontal="right" indent="1"/>
    </xf>
    <xf numFmtId="0" fontId="4" fillId="6" borderId="5" xfId="0" applyFont="1" applyFill="1" applyBorder="1"/>
    <xf numFmtId="0" fontId="31" fillId="6" borderId="6" xfId="0" applyFont="1" applyFill="1" applyBorder="1"/>
    <xf numFmtId="4" fontId="2" fillId="8" borderId="6" xfId="0" applyNumberFormat="1" applyFont="1" applyFill="1" applyBorder="1" applyAlignment="1">
      <alignment vertical="center"/>
    </xf>
    <xf numFmtId="0" fontId="2" fillId="8" borderId="6" xfId="0" applyFont="1" applyFill="1" applyBorder="1" applyAlignment="1">
      <alignment horizontal="center"/>
    </xf>
    <xf numFmtId="2" fontId="2" fillId="8" borderId="6" xfId="0" applyNumberFormat="1" applyFont="1" applyFill="1" applyBorder="1" applyAlignment="1">
      <alignment horizontal="right" indent="1"/>
    </xf>
    <xf numFmtId="0" fontId="31" fillId="26" borderId="6" xfId="0" applyFont="1" applyFill="1" applyBorder="1"/>
    <xf numFmtId="2" fontId="4" fillId="26" borderId="6" xfId="0" applyNumberFormat="1" applyFont="1" applyFill="1" applyBorder="1"/>
    <xf numFmtId="0" fontId="9" fillId="25" borderId="7" xfId="0" applyFont="1" applyFill="1" applyBorder="1" applyAlignment="1">
      <alignment horizontal="left" vertical="center"/>
    </xf>
    <xf numFmtId="0" fontId="9" fillId="25" borderId="13" xfId="0" applyFont="1" applyFill="1" applyBorder="1" applyAlignment="1">
      <alignment horizontal="left" vertical="center"/>
    </xf>
    <xf numFmtId="0" fontId="9" fillId="30" borderId="7" xfId="0" applyFont="1" applyFill="1" applyBorder="1" applyAlignment="1">
      <alignment horizontal="left" vertical="center"/>
    </xf>
    <xf numFmtId="0" fontId="9" fillId="30" borderId="13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quotePrefix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2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8" fillId="0" borderId="5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/>
    </xf>
  </cellXfs>
  <cellStyles count="6">
    <cellStyle name="Hipervínculo" xfId="4" builtinId="8"/>
    <cellStyle name="Millares" xfId="5" builtinId="3"/>
    <cellStyle name="Normal" xfId="0" builtinId="0"/>
    <cellStyle name="Normal 10" xfId="2" xr:uid="{67D93D48-BFFD-4FDD-93DC-E3C0FCE46B6E}"/>
    <cellStyle name="Porcentaje" xfId="1" builtinId="5"/>
    <cellStyle name="Porcentaje 2" xfId="3" xr:uid="{75324D31-39D7-4AFF-A5A0-522F1DE7BF85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28</xdr:row>
      <xdr:rowOff>0</xdr:rowOff>
    </xdr:from>
    <xdr:to>
      <xdr:col>3</xdr:col>
      <xdr:colOff>692807</xdr:colOff>
      <xdr:row>29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FD934C-655E-489D-955D-F311CFF0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5" y="29232225"/>
          <a:ext cx="210207" cy="23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20</xdr:row>
      <xdr:rowOff>142875</xdr:rowOff>
    </xdr:from>
    <xdr:to>
      <xdr:col>5</xdr:col>
      <xdr:colOff>394003</xdr:colOff>
      <xdr:row>32</xdr:row>
      <xdr:rowOff>157982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82245-5D22-4988-95C5-F0926E3DD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562475"/>
          <a:ext cx="4232578" cy="2301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304800</xdr:colOff>
      <xdr:row>2</xdr:row>
      <xdr:rowOff>101600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8807DE1F-25C4-4702-A44D-61EA729E86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729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273620</xdr:colOff>
      <xdr:row>114</xdr:row>
      <xdr:rowOff>0</xdr:rowOff>
    </xdr:from>
    <xdr:to>
      <xdr:col>33</xdr:col>
      <xdr:colOff>396875</xdr:colOff>
      <xdr:row>136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DC5260E-5ADF-4C3D-9A84-023740CA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67020" y="23221950"/>
          <a:ext cx="5457255" cy="42862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723900</xdr:colOff>
      <xdr:row>113</xdr:row>
      <xdr:rowOff>0</xdr:rowOff>
    </xdr:from>
    <xdr:to>
      <xdr:col>20</xdr:col>
      <xdr:colOff>701675</xdr:colOff>
      <xdr:row>154</xdr:row>
      <xdr:rowOff>174534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6E7E667-2436-4D59-943A-346CA502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3031450"/>
          <a:ext cx="5311775" cy="7985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482600</xdr:colOff>
      <xdr:row>111</xdr:row>
      <xdr:rowOff>59106</xdr:rowOff>
    </xdr:from>
    <xdr:to>
      <xdr:col>24</xdr:col>
      <xdr:colOff>533400</xdr:colOff>
      <xdr:row>140</xdr:row>
      <xdr:rowOff>108567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369FB0E-FEC5-4AD2-A615-FC61DAAD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000" y="22709556"/>
          <a:ext cx="4622800" cy="5573961"/>
        </a:xfrm>
        <a:prstGeom prst="rect">
          <a:avLst/>
        </a:prstGeom>
      </xdr:spPr>
    </xdr:pic>
    <xdr:clientData/>
  </xdr:twoCellAnchor>
  <xdr:twoCellAnchor editAs="oneCell">
    <xdr:from>
      <xdr:col>21</xdr:col>
      <xdr:colOff>558800</xdr:colOff>
      <xdr:row>113</xdr:row>
      <xdr:rowOff>0</xdr:rowOff>
    </xdr:from>
    <xdr:to>
      <xdr:col>25</xdr:col>
      <xdr:colOff>434610</xdr:colOff>
      <xdr:row>136</xdr:row>
      <xdr:rowOff>75696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6AAB35C3-66CD-413F-BF47-D5D83575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42200" y="23031450"/>
          <a:ext cx="2923810" cy="445719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18</xdr:row>
      <xdr:rowOff>111125</xdr:rowOff>
    </xdr:to>
    <xdr:sp macro="" textlink="">
      <xdr:nvSpPr>
        <xdr:cNvPr id="6" name="AutoShape 5" descr="{\displaystyle Q=0.2787\ C\ D_{i}^{2.63}\ S^{0.54}}">
          <a:extLst>
            <a:ext uri="{FF2B5EF4-FFF2-40B4-BE49-F238E27FC236}">
              <a16:creationId xmlns:a16="http://schemas.microsoft.com/office/drawing/2014/main" id="{9230A5EE-F08B-43EA-81E4-118656AF6A3F}"/>
            </a:ext>
          </a:extLst>
        </xdr:cNvPr>
        <xdr:cNvSpPr>
          <a:spLocks noChangeAspect="1" noChangeArrowheads="1"/>
        </xdr:cNvSpPr>
      </xdr:nvSpPr>
      <xdr:spPr bwMode="auto">
        <a:xfrm>
          <a:off x="7867650" y="52197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43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978C0BC1-47C9-4ED9-9A56-AB512B57FB4A}"/>
            </a:ext>
          </a:extLst>
        </xdr:cNvPr>
        <xdr:cNvSpPr>
          <a:spLocks noChangeAspect="1" noChangeArrowheads="1"/>
        </xdr:cNvSpPr>
      </xdr:nvSpPr>
      <xdr:spPr bwMode="auto">
        <a:xfrm>
          <a:off x="13487400" y="94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%20Propuesta%20Tecnologias%20Tratamiento%20y%20Piscicultura/Calculos/Bioportadores%2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%20Propuesta%20Tecnologias%20Tratamiento%20y%20Piscicultura\Actualizacion%202023\Contenidos%2023\Lecho%20de%20Secado.xlsx" TargetMode="External"/><Relationship Id="rId1" Type="http://schemas.openxmlformats.org/officeDocument/2006/relationships/externalLinkPath" Target="Lecho%20de%20Se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ioportadores PP"/>
      <sheetName val="Burbujas"/>
      <sheetName val="Hoja1"/>
      <sheetName val="Conjunto BF"/>
    </sheetNames>
    <sheetDataSet>
      <sheetData sheetId="0">
        <row r="32">
          <cell r="F32">
            <v>15625</v>
          </cell>
        </row>
        <row r="35">
          <cell r="F35">
            <v>605.47590018476353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ngineeringtoolbox.com/density-materials-d_1652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helbertycia.com/detalle_Producto.asp?IdProducto=18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1BDD-0710-46E5-A9A1-09FAC125FCB0}">
  <dimension ref="A1:H130"/>
  <sheetViews>
    <sheetView showGridLines="0" topLeftCell="B1" zoomScale="75" zoomScaleNormal="75" workbookViewId="0">
      <selection activeCell="C11" sqref="C11"/>
    </sheetView>
  </sheetViews>
  <sheetFormatPr baseColWidth="10" defaultRowHeight="15" x14ac:dyDescent="0.25"/>
  <cols>
    <col min="1" max="1" width="29.5703125" customWidth="1"/>
    <col min="2" max="2" width="48.28515625" style="121" customWidth="1"/>
    <col min="3" max="3" width="70.140625" customWidth="1"/>
    <col min="4" max="4" width="13.85546875" customWidth="1"/>
    <col min="5" max="5" width="11.85546875" customWidth="1"/>
    <col min="6" max="6" width="14" customWidth="1"/>
    <col min="7" max="7" width="15.7109375" style="660" customWidth="1"/>
    <col min="8" max="8" width="21" customWidth="1"/>
  </cols>
  <sheetData>
    <row r="1" spans="1:8" ht="15.75" x14ac:dyDescent="0.25">
      <c r="C1" s="154" t="s">
        <v>143</v>
      </c>
      <c r="D1" s="155"/>
      <c r="E1" s="119"/>
    </row>
    <row r="2" spans="1:8" x14ac:dyDescent="0.25">
      <c r="C2" s="122" t="s">
        <v>506</v>
      </c>
      <c r="D2" s="155"/>
      <c r="E2" s="119"/>
    </row>
    <row r="3" spans="1:8" x14ac:dyDescent="0.25">
      <c r="C3" s="685" t="s">
        <v>106</v>
      </c>
      <c r="D3" s="584"/>
      <c r="E3" s="119"/>
    </row>
    <row r="4" spans="1:8" x14ac:dyDescent="0.25">
      <c r="C4" s="686" t="s">
        <v>146</v>
      </c>
      <c r="D4" s="584"/>
      <c r="E4" s="119"/>
    </row>
    <row r="5" spans="1:8" x14ac:dyDescent="0.25">
      <c r="C5" s="687" t="s">
        <v>170</v>
      </c>
      <c r="D5" s="119"/>
      <c r="E5" s="119"/>
    </row>
    <row r="6" spans="1:8" x14ac:dyDescent="0.25">
      <c r="C6" s="688" t="s">
        <v>507</v>
      </c>
      <c r="D6" s="122"/>
      <c r="E6" s="119"/>
    </row>
    <row r="7" spans="1:8" x14ac:dyDescent="0.25">
      <c r="C7" s="689" t="s">
        <v>171</v>
      </c>
      <c r="D7" s="43"/>
      <c r="E7" s="119"/>
    </row>
    <row r="8" spans="1:8" x14ac:dyDescent="0.25">
      <c r="C8" s="690" t="s">
        <v>83</v>
      </c>
      <c r="D8" s="584"/>
      <c r="E8" s="119"/>
    </row>
    <row r="9" spans="1:8" x14ac:dyDescent="0.25">
      <c r="C9" s="691" t="s">
        <v>147</v>
      </c>
      <c r="D9" s="584"/>
      <c r="E9" s="584"/>
    </row>
    <row r="10" spans="1:8" x14ac:dyDescent="0.25">
      <c r="C10" s="692" t="s">
        <v>172</v>
      </c>
      <c r="D10" s="119"/>
      <c r="E10" s="119"/>
    </row>
    <row r="11" spans="1:8" ht="34.5" customHeight="1" x14ac:dyDescent="0.25">
      <c r="A11" s="630" t="s">
        <v>538</v>
      </c>
      <c r="B11" s="693" t="s">
        <v>148</v>
      </c>
      <c r="C11" s="26"/>
      <c r="D11" s="3"/>
      <c r="E11" s="3"/>
      <c r="F11" s="27"/>
      <c r="G11" s="597" t="s">
        <v>149</v>
      </c>
      <c r="H11" s="583" t="s">
        <v>150</v>
      </c>
    </row>
    <row r="12" spans="1:8" ht="15.75" x14ac:dyDescent="0.25">
      <c r="A12" s="2"/>
      <c r="C12" s="788" t="s">
        <v>486</v>
      </c>
      <c r="D12" s="112"/>
      <c r="E12" s="113"/>
      <c r="F12" s="113"/>
      <c r="G12" s="665"/>
      <c r="H12" s="27"/>
    </row>
    <row r="13" spans="1:8" ht="15" customHeight="1" x14ac:dyDescent="0.25">
      <c r="A13" s="2"/>
      <c r="B13" s="215" t="s">
        <v>252</v>
      </c>
      <c r="C13" s="120" t="s">
        <v>142</v>
      </c>
      <c r="D13" s="99" t="s">
        <v>66</v>
      </c>
      <c r="E13" s="104">
        <f>'Planta TPQA'!E14</f>
        <v>2</v>
      </c>
      <c r="F13" s="100" t="s">
        <v>8</v>
      </c>
      <c r="G13" s="124">
        <v>2</v>
      </c>
      <c r="H13" s="125">
        <f t="shared" ref="H13:H60" si="0">G13-E13</f>
        <v>0</v>
      </c>
    </row>
    <row r="14" spans="1:8" ht="15" customHeight="1" x14ac:dyDescent="0.25">
      <c r="A14" s="2"/>
      <c r="B14" s="708" t="s">
        <v>173</v>
      </c>
      <c r="C14" s="120" t="s">
        <v>84</v>
      </c>
      <c r="D14" s="99" t="s">
        <v>3</v>
      </c>
      <c r="E14" s="104">
        <v>9</v>
      </c>
      <c r="F14" s="100" t="s">
        <v>16</v>
      </c>
      <c r="G14" s="124">
        <v>9</v>
      </c>
      <c r="H14" s="125">
        <f t="shared" si="0"/>
        <v>0</v>
      </c>
    </row>
    <row r="15" spans="1:8" ht="15" customHeight="1" x14ac:dyDescent="0.25">
      <c r="A15" s="2"/>
      <c r="B15" s="215"/>
      <c r="C15" s="126" t="s">
        <v>81</v>
      </c>
      <c r="D15" s="101" t="s">
        <v>85</v>
      </c>
      <c r="E15" s="127">
        <f>E14^2/19.6</f>
        <v>4.1326530612244898</v>
      </c>
      <c r="F15" s="128" t="s">
        <v>46</v>
      </c>
      <c r="G15" s="127">
        <f>G14^2/19.6</f>
        <v>4.1326530612244898</v>
      </c>
      <c r="H15" s="125">
        <f t="shared" si="0"/>
        <v>0</v>
      </c>
    </row>
    <row r="16" spans="1:8" ht="15" customHeight="1" x14ac:dyDescent="0.25">
      <c r="A16" s="2"/>
      <c r="B16" s="708" t="s">
        <v>173</v>
      </c>
      <c r="C16" s="105" t="s">
        <v>124</v>
      </c>
      <c r="D16" s="114"/>
      <c r="E16" s="106">
        <v>3</v>
      </c>
      <c r="F16" s="107" t="s">
        <v>34</v>
      </c>
      <c r="G16" s="564">
        <v>3</v>
      </c>
      <c r="H16" s="125">
        <f t="shared" si="0"/>
        <v>0</v>
      </c>
    </row>
    <row r="17" spans="1:8" ht="15" customHeight="1" x14ac:dyDescent="0.25">
      <c r="A17" s="2"/>
      <c r="B17" s="708" t="s">
        <v>173</v>
      </c>
      <c r="C17" s="105" t="s">
        <v>125</v>
      </c>
      <c r="D17" s="114"/>
      <c r="E17" s="106">
        <v>18</v>
      </c>
      <c r="F17" s="107" t="s">
        <v>34</v>
      </c>
      <c r="G17" s="564">
        <v>18</v>
      </c>
      <c r="H17" s="125">
        <f t="shared" si="0"/>
        <v>0</v>
      </c>
    </row>
    <row r="18" spans="1:8" ht="15" customHeight="1" x14ac:dyDescent="0.25">
      <c r="A18" s="2"/>
      <c r="B18" s="215"/>
      <c r="C18" s="131" t="s">
        <v>86</v>
      </c>
      <c r="D18" s="132" t="s">
        <v>144</v>
      </c>
      <c r="E18" s="129">
        <f>E16*E17</f>
        <v>54</v>
      </c>
      <c r="F18" s="128" t="s">
        <v>34</v>
      </c>
      <c r="G18" s="129">
        <f>G16*G17</f>
        <v>54</v>
      </c>
      <c r="H18" s="125">
        <f t="shared" si="0"/>
        <v>0</v>
      </c>
    </row>
    <row r="19" spans="1:8" ht="15" customHeight="1" x14ac:dyDescent="0.25">
      <c r="A19" s="2"/>
      <c r="B19" s="215"/>
      <c r="C19" s="105" t="s">
        <v>87</v>
      </c>
      <c r="D19" s="108" t="s">
        <v>111</v>
      </c>
      <c r="E19" s="109">
        <f>25.4/8</f>
        <v>3.1749999999999998</v>
      </c>
      <c r="F19" s="110" t="s">
        <v>47</v>
      </c>
      <c r="G19" s="127">
        <f>25.4/8</f>
        <v>3.1749999999999998</v>
      </c>
      <c r="H19" s="125">
        <f t="shared" si="0"/>
        <v>0</v>
      </c>
    </row>
    <row r="20" spans="1:8" ht="15" customHeight="1" x14ac:dyDescent="0.25">
      <c r="A20" s="2"/>
      <c r="B20" s="215"/>
      <c r="C20" s="131" t="s">
        <v>88</v>
      </c>
      <c r="D20" s="132"/>
      <c r="E20" s="103">
        <f>0.25*3.14*E19^2</f>
        <v>7.9132906250000001</v>
      </c>
      <c r="F20" s="128" t="s">
        <v>48</v>
      </c>
      <c r="G20" s="103">
        <f>0.25*3.14*G19^2</f>
        <v>7.9132906250000001</v>
      </c>
      <c r="H20" s="125">
        <f t="shared" si="0"/>
        <v>0</v>
      </c>
    </row>
    <row r="21" spans="1:8" ht="15" customHeight="1" x14ac:dyDescent="0.25">
      <c r="A21" s="2"/>
      <c r="B21" s="215"/>
      <c r="C21" s="115" t="s">
        <v>89</v>
      </c>
      <c r="D21" s="116" t="s">
        <v>65</v>
      </c>
      <c r="E21" s="117">
        <v>0.57999999999999996</v>
      </c>
      <c r="F21" s="118"/>
      <c r="G21" s="127">
        <v>0.57999999999999996</v>
      </c>
      <c r="H21" s="125">
        <f t="shared" si="0"/>
        <v>0</v>
      </c>
    </row>
    <row r="22" spans="1:8" ht="15" customHeight="1" x14ac:dyDescent="0.25">
      <c r="A22" s="2"/>
      <c r="B22" s="215"/>
      <c r="C22" s="131" t="s">
        <v>138</v>
      </c>
      <c r="D22" s="132"/>
      <c r="E22" s="103">
        <f>E21*1000*E14*E20/1000000</f>
        <v>4.1307377062500004E-2</v>
      </c>
      <c r="F22" s="128" t="s">
        <v>1</v>
      </c>
      <c r="G22" s="103">
        <f>G21*1000*G14*G20/1000000</f>
        <v>4.1307377062500004E-2</v>
      </c>
      <c r="H22" s="125">
        <f t="shared" si="0"/>
        <v>0</v>
      </c>
    </row>
    <row r="23" spans="1:8" ht="15" customHeight="1" x14ac:dyDescent="0.25">
      <c r="A23" s="2"/>
      <c r="B23" s="215"/>
      <c r="C23" s="133" t="s">
        <v>90</v>
      </c>
      <c r="D23" s="134" t="s">
        <v>50</v>
      </c>
      <c r="E23" s="130">
        <f>E22*E18</f>
        <v>2.2305983613750002</v>
      </c>
      <c r="F23" s="135" t="s">
        <v>1</v>
      </c>
      <c r="G23" s="103">
        <f>G22*G18</f>
        <v>2.2305983613750002</v>
      </c>
      <c r="H23" s="125">
        <f t="shared" si="0"/>
        <v>0</v>
      </c>
    </row>
    <row r="24" spans="1:8" ht="15" customHeight="1" x14ac:dyDescent="0.25">
      <c r="A24" s="2"/>
      <c r="B24" s="215"/>
      <c r="C24" s="105" t="s">
        <v>139</v>
      </c>
      <c r="D24" s="108"/>
      <c r="E24" s="109">
        <v>2</v>
      </c>
      <c r="F24" s="110" t="s">
        <v>15</v>
      </c>
      <c r="G24" s="127">
        <v>2</v>
      </c>
      <c r="H24" s="125">
        <f t="shared" si="0"/>
        <v>0</v>
      </c>
    </row>
    <row r="25" spans="1:8" ht="15" customHeight="1" x14ac:dyDescent="0.25">
      <c r="A25" s="2"/>
      <c r="B25" s="215"/>
      <c r="C25" s="131" t="s">
        <v>140</v>
      </c>
      <c r="D25" s="132"/>
      <c r="E25" s="103">
        <f>0.001*E23/(0.25*3.14*(0.025*E24)^2)</f>
        <v>1.1366106299999998</v>
      </c>
      <c r="F25" s="128" t="s">
        <v>16</v>
      </c>
      <c r="G25" s="103">
        <f>0.001*G23/(0.25*3.14*(0.025*G24)^2)</f>
        <v>1.1366106299999998</v>
      </c>
      <c r="H25" s="125">
        <f t="shared" si="0"/>
        <v>0</v>
      </c>
    </row>
    <row r="26" spans="1:8" ht="15" customHeight="1" x14ac:dyDescent="0.25">
      <c r="A26" s="2"/>
      <c r="B26" s="215"/>
      <c r="C26" s="131" t="s">
        <v>95</v>
      </c>
      <c r="D26" s="132"/>
      <c r="E26" s="103">
        <f>E25^2/19.6</f>
        <v>6.5912434909642673E-2</v>
      </c>
      <c r="F26" s="128" t="s">
        <v>6</v>
      </c>
      <c r="G26" s="103">
        <f>G25^2/19.6</f>
        <v>6.5912434909642673E-2</v>
      </c>
      <c r="H26" s="125">
        <f t="shared" si="0"/>
        <v>0</v>
      </c>
    </row>
    <row r="27" spans="1:8" ht="15" customHeight="1" x14ac:dyDescent="0.25">
      <c r="A27" s="2"/>
      <c r="B27" s="215"/>
      <c r="C27" s="131" t="s">
        <v>141</v>
      </c>
      <c r="D27" s="132" t="s">
        <v>31</v>
      </c>
      <c r="E27" s="103">
        <f>E43*E18</f>
        <v>9.0431416527152503E-2</v>
      </c>
      <c r="F27" s="128" t="s">
        <v>32</v>
      </c>
      <c r="G27" s="103">
        <f>G43*G18</f>
        <v>9.0431416527152503E-2</v>
      </c>
      <c r="H27" s="125">
        <f t="shared" si="0"/>
        <v>0</v>
      </c>
    </row>
    <row r="28" spans="1:8" ht="15" customHeight="1" x14ac:dyDescent="0.25">
      <c r="A28" s="2"/>
      <c r="B28" s="215" t="s">
        <v>252</v>
      </c>
      <c r="C28" s="510" t="s">
        <v>174</v>
      </c>
      <c r="D28" s="101"/>
      <c r="E28" s="137">
        <f>'Planta TPQA'!E49</f>
        <v>4</v>
      </c>
      <c r="F28" s="192" t="s">
        <v>79</v>
      </c>
      <c r="G28" s="137">
        <f>'Planta TPQA'!G49</f>
        <v>4</v>
      </c>
      <c r="H28" s="125">
        <f t="shared" si="0"/>
        <v>0</v>
      </c>
    </row>
    <row r="29" spans="1:8" ht="15" customHeight="1" x14ac:dyDescent="0.25">
      <c r="A29" s="2"/>
      <c r="B29" s="215"/>
      <c r="C29" s="557" t="s">
        <v>18</v>
      </c>
      <c r="D29" s="558"/>
      <c r="E29" s="559">
        <v>1000</v>
      </c>
      <c r="F29" s="560" t="s">
        <v>19</v>
      </c>
      <c r="G29" s="137">
        <v>1000</v>
      </c>
      <c r="H29" s="125">
        <f t="shared" si="0"/>
        <v>0</v>
      </c>
    </row>
    <row r="30" spans="1:8" ht="15" customHeight="1" x14ac:dyDescent="0.25">
      <c r="A30" s="2"/>
      <c r="B30" s="215"/>
      <c r="C30" s="557" t="s">
        <v>9</v>
      </c>
      <c r="D30" s="558" t="s">
        <v>91</v>
      </c>
      <c r="E30" s="559">
        <v>25</v>
      </c>
      <c r="F30" s="560" t="s">
        <v>17</v>
      </c>
      <c r="G30" s="137">
        <v>25</v>
      </c>
      <c r="H30" s="125">
        <f t="shared" si="0"/>
        <v>0</v>
      </c>
    </row>
    <row r="31" spans="1:8" ht="15" customHeight="1" x14ac:dyDescent="0.25">
      <c r="A31" s="2"/>
      <c r="B31" s="215"/>
      <c r="C31" s="138" t="s">
        <v>21</v>
      </c>
      <c r="D31" s="139" t="s">
        <v>22</v>
      </c>
      <c r="E31" s="140">
        <v>101.33</v>
      </c>
      <c r="F31" s="141" t="s">
        <v>23</v>
      </c>
      <c r="G31" s="102">
        <v>101.33</v>
      </c>
      <c r="H31" s="125">
        <f t="shared" si="0"/>
        <v>0</v>
      </c>
    </row>
    <row r="32" spans="1:8" ht="15" customHeight="1" x14ac:dyDescent="0.25">
      <c r="A32" s="2"/>
      <c r="B32" s="215"/>
      <c r="C32" s="131" t="s">
        <v>24</v>
      </c>
      <c r="D32" s="132"/>
      <c r="E32" s="103">
        <f>-9.81*28.97*E29/(8314*(273.15+E30))</f>
        <v>-0.11464963296434179</v>
      </c>
      <c r="F32" s="128"/>
      <c r="G32" s="103">
        <v>-0.11464963296434179</v>
      </c>
      <c r="H32" s="125">
        <f t="shared" si="0"/>
        <v>0</v>
      </c>
    </row>
    <row r="33" spans="1:8" ht="15" customHeight="1" x14ac:dyDescent="0.25">
      <c r="A33" s="2"/>
      <c r="B33" s="215"/>
      <c r="C33" s="131" t="s">
        <v>25</v>
      </c>
      <c r="D33" s="132" t="s">
        <v>68</v>
      </c>
      <c r="E33" s="103">
        <f>E31*EXP(E32)</f>
        <v>90.353782803986036</v>
      </c>
      <c r="F33" s="128" t="s">
        <v>23</v>
      </c>
      <c r="G33" s="103">
        <v>90.353782803986036</v>
      </c>
      <c r="H33" s="125">
        <f t="shared" si="0"/>
        <v>0</v>
      </c>
    </row>
    <row r="34" spans="1:8" ht="15" customHeight="1" x14ac:dyDescent="0.25">
      <c r="A34" s="2"/>
      <c r="B34" s="215"/>
      <c r="C34" s="105" t="s">
        <v>153</v>
      </c>
      <c r="D34" s="108"/>
      <c r="E34" s="109">
        <v>0</v>
      </c>
      <c r="F34" s="110" t="s">
        <v>154</v>
      </c>
      <c r="G34" s="127">
        <v>0</v>
      </c>
      <c r="H34" s="125">
        <f t="shared" si="0"/>
        <v>0</v>
      </c>
    </row>
    <row r="35" spans="1:8" ht="15" customHeight="1" x14ac:dyDescent="0.35">
      <c r="A35" s="2"/>
      <c r="B35" s="215" t="s">
        <v>251</v>
      </c>
      <c r="C35" s="157" t="s">
        <v>155</v>
      </c>
      <c r="D35" s="158" t="s">
        <v>156</v>
      </c>
      <c r="E35" s="159">
        <f>VLOOKUP(ROUND(E30,0),'Agua-T°C'!B6:H46,6)</f>
        <v>8.24</v>
      </c>
      <c r="F35" s="160" t="s">
        <v>8</v>
      </c>
      <c r="G35" s="65">
        <f>VLOOKUP(ROUND(G30,0),'Agua-T°C'!B6:H46,6)</f>
        <v>8.24</v>
      </c>
      <c r="H35" s="125">
        <f t="shared" si="0"/>
        <v>0</v>
      </c>
    </row>
    <row r="36" spans="1:8" ht="15" customHeight="1" x14ac:dyDescent="0.35">
      <c r="A36" s="2"/>
      <c r="B36" s="215"/>
      <c r="C36" s="161" t="s">
        <v>157</v>
      </c>
      <c r="D36" s="142" t="s">
        <v>158</v>
      </c>
      <c r="E36" s="162">
        <f>E35*EXP(E32)</f>
        <v>7.3474308724449315</v>
      </c>
      <c r="F36" s="163" t="s">
        <v>8</v>
      </c>
      <c r="G36" s="65">
        <f>G35*EXP(G32)</f>
        <v>7.3474308724449315</v>
      </c>
      <c r="H36" s="125">
        <f t="shared" si="0"/>
        <v>0</v>
      </c>
    </row>
    <row r="37" spans="1:8" ht="15" customHeight="1" x14ac:dyDescent="0.25">
      <c r="A37" s="2"/>
      <c r="B37" s="699" t="s">
        <v>500</v>
      </c>
      <c r="C37" s="164" t="s">
        <v>151</v>
      </c>
      <c r="D37" s="165" t="s">
        <v>152</v>
      </c>
      <c r="E37" s="166">
        <f>2.52*(E14*E19/1000)^0.66</f>
        <v>0.24118564659425204</v>
      </c>
      <c r="F37" s="167" t="s">
        <v>6</v>
      </c>
      <c r="G37" s="168">
        <f>2.52*(G14*G19/1000)^0.66</f>
        <v>0.24118564659425204</v>
      </c>
      <c r="H37" s="125">
        <f t="shared" si="0"/>
        <v>0</v>
      </c>
    </row>
    <row r="38" spans="1:8" ht="15" customHeight="1" x14ac:dyDescent="0.25">
      <c r="A38" s="2"/>
      <c r="B38" s="215" t="s">
        <v>252</v>
      </c>
      <c r="C38" s="131" t="s">
        <v>176</v>
      </c>
      <c r="D38" s="132" t="s">
        <v>177</v>
      </c>
      <c r="E38" s="103">
        <f>'Planta TPQA'!E101</f>
        <v>0.38</v>
      </c>
      <c r="F38" s="128" t="s">
        <v>6</v>
      </c>
      <c r="G38" s="103">
        <f>'Planta TPQA'!G101</f>
        <v>0.38</v>
      </c>
      <c r="H38" s="125">
        <f t="shared" si="0"/>
        <v>0</v>
      </c>
    </row>
    <row r="39" spans="1:8" ht="15" customHeight="1" x14ac:dyDescent="0.25">
      <c r="A39" s="2"/>
      <c r="B39" s="215" t="s">
        <v>505</v>
      </c>
      <c r="C39" s="169" t="s">
        <v>159</v>
      </c>
      <c r="D39" s="85" t="s">
        <v>178</v>
      </c>
      <c r="E39" s="88">
        <f>E37+E38</f>
        <v>0.62118564659425202</v>
      </c>
      <c r="F39" s="171" t="s">
        <v>6</v>
      </c>
      <c r="G39" s="88">
        <f>G37+G38</f>
        <v>0.62118564659425202</v>
      </c>
      <c r="H39" s="125">
        <f t="shared" si="0"/>
        <v>0</v>
      </c>
    </row>
    <row r="40" spans="1:8" ht="15" customHeight="1" x14ac:dyDescent="0.25">
      <c r="A40" s="2"/>
      <c r="B40" s="215"/>
      <c r="C40" s="172"/>
      <c r="D40" s="53"/>
      <c r="E40" s="173">
        <f>E39*9.8</f>
        <v>6.0876193366236704</v>
      </c>
      <c r="F40" s="174" t="s">
        <v>23</v>
      </c>
      <c r="G40" s="175">
        <f>G39*9.8</f>
        <v>6.0876193366236704</v>
      </c>
      <c r="H40" s="125">
        <f t="shared" si="0"/>
        <v>0</v>
      </c>
    </row>
    <row r="41" spans="1:8" ht="15" customHeight="1" x14ac:dyDescent="0.25">
      <c r="A41" s="2"/>
      <c r="B41" s="699" t="s">
        <v>464</v>
      </c>
      <c r="C41" s="176" t="s">
        <v>160</v>
      </c>
      <c r="D41" s="177" t="s">
        <v>20</v>
      </c>
      <c r="E41" s="168">
        <f>E36*(E33+E40/2)/E33</f>
        <v>7.5949488006684538</v>
      </c>
      <c r="F41" s="29" t="s">
        <v>8</v>
      </c>
      <c r="G41" s="168">
        <f>G36*(G33+G40/2)/G33</f>
        <v>7.5949488006684538</v>
      </c>
      <c r="H41" s="125">
        <f t="shared" si="0"/>
        <v>0</v>
      </c>
    </row>
    <row r="42" spans="1:8" ht="15" customHeight="1" x14ac:dyDescent="0.25">
      <c r="A42" s="2"/>
      <c r="B42" s="215" t="s">
        <v>251</v>
      </c>
      <c r="C42" s="178" t="s">
        <v>128</v>
      </c>
      <c r="D42" s="179" t="s">
        <v>161</v>
      </c>
      <c r="E42" s="180">
        <f>'Agua-T°C'!G26</f>
        <v>9.08</v>
      </c>
      <c r="F42" s="181" t="s">
        <v>8</v>
      </c>
      <c r="G42" s="565">
        <f>'Agua-T°C'!G26</f>
        <v>9.08</v>
      </c>
      <c r="H42" s="125">
        <f t="shared" si="0"/>
        <v>0</v>
      </c>
    </row>
    <row r="43" spans="1:8" ht="15" customHeight="1" x14ac:dyDescent="0.25">
      <c r="A43" s="2"/>
      <c r="B43" s="215" t="s">
        <v>463</v>
      </c>
      <c r="C43" s="182" t="s">
        <v>129</v>
      </c>
      <c r="D43" s="183" t="s">
        <v>130</v>
      </c>
      <c r="E43" s="184">
        <f>9.81*0.001*E22*E15</f>
        <v>1.6746558616139353E-3</v>
      </c>
      <c r="F43" s="185" t="s">
        <v>32</v>
      </c>
      <c r="G43" s="566">
        <f>9.81*0.001*G22*G15</f>
        <v>1.6746558616139353E-3</v>
      </c>
      <c r="H43" s="125">
        <f t="shared" si="0"/>
        <v>0</v>
      </c>
    </row>
    <row r="44" spans="1:8" ht="15" customHeight="1" x14ac:dyDescent="0.25">
      <c r="A44" s="2"/>
      <c r="B44" s="215" t="s">
        <v>404</v>
      </c>
      <c r="C44" s="186" t="s">
        <v>131</v>
      </c>
      <c r="D44" s="187" t="s">
        <v>536</v>
      </c>
      <c r="E44" s="188">
        <v>0.3</v>
      </c>
      <c r="F44" s="189" t="s">
        <v>6</v>
      </c>
      <c r="G44" s="65">
        <v>0.3</v>
      </c>
      <c r="H44" s="125">
        <f t="shared" si="0"/>
        <v>0</v>
      </c>
    </row>
    <row r="45" spans="1:8" ht="15" customHeight="1" x14ac:dyDescent="0.35">
      <c r="A45" s="2"/>
      <c r="B45" s="215" t="s">
        <v>544</v>
      </c>
      <c r="C45" s="41" t="s">
        <v>132</v>
      </c>
      <c r="D45" s="144" t="s">
        <v>133</v>
      </c>
      <c r="E45" s="63">
        <f>1.89*(E43^-0.29)*((0.001*E19)^0.2)*(E44^0.2)</f>
        <v>3.0012099983758986</v>
      </c>
      <c r="F45" s="64" t="s">
        <v>162</v>
      </c>
      <c r="G45" s="65">
        <f>1.89*(G43^-0.29)*((0.001*G19)^0.2)*(G44^0.2)</f>
        <v>3.0012099983758986</v>
      </c>
      <c r="H45" s="125">
        <f t="shared" si="0"/>
        <v>0</v>
      </c>
    </row>
    <row r="46" spans="1:8" ht="15" customHeight="1" x14ac:dyDescent="0.25">
      <c r="A46" s="2"/>
      <c r="B46" s="215"/>
      <c r="C46" s="172" t="s">
        <v>405</v>
      </c>
      <c r="D46" s="53"/>
      <c r="E46" s="476">
        <f>E38/E39</f>
        <v>0.61173338772943286</v>
      </c>
      <c r="F46" s="174"/>
      <c r="G46" s="476">
        <f>G38/G39</f>
        <v>0.61173338772943286</v>
      </c>
      <c r="H46" s="125">
        <f t="shared" si="0"/>
        <v>0</v>
      </c>
    </row>
    <row r="47" spans="1:8" ht="15" customHeight="1" x14ac:dyDescent="0.25">
      <c r="A47" s="2"/>
      <c r="B47" s="215" t="s">
        <v>465</v>
      </c>
      <c r="C47" s="157" t="s">
        <v>163</v>
      </c>
      <c r="D47" s="158" t="s">
        <v>164</v>
      </c>
      <c r="E47" s="190">
        <v>2</v>
      </c>
      <c r="F47" s="160"/>
      <c r="G47" s="567">
        <v>2</v>
      </c>
      <c r="H47" s="125">
        <f t="shared" si="0"/>
        <v>0</v>
      </c>
    </row>
    <row r="48" spans="1:8" ht="28.5" customHeight="1" x14ac:dyDescent="0.25">
      <c r="A48" s="2"/>
      <c r="B48" s="215"/>
      <c r="C48" s="145" t="s">
        <v>165</v>
      </c>
      <c r="D48" s="144" t="s">
        <v>133</v>
      </c>
      <c r="E48" s="146">
        <f>E45*E47</f>
        <v>6.0024199967517973</v>
      </c>
      <c r="F48" s="147" t="s">
        <v>162</v>
      </c>
      <c r="G48" s="565">
        <f>G45*G47</f>
        <v>6.0024199967517973</v>
      </c>
      <c r="H48" s="125">
        <f t="shared" si="0"/>
        <v>0</v>
      </c>
    </row>
    <row r="49" spans="1:8" ht="30" customHeight="1" x14ac:dyDescent="0.25">
      <c r="A49" s="2"/>
      <c r="B49" s="699" t="s">
        <v>466</v>
      </c>
      <c r="C49" s="145" t="s">
        <v>166</v>
      </c>
      <c r="D49" s="144" t="s">
        <v>145</v>
      </c>
      <c r="E49" s="148">
        <f>E48*E43</f>
        <v>1.0051987831429096E-2</v>
      </c>
      <c r="F49" s="147" t="s">
        <v>52</v>
      </c>
      <c r="G49" s="568">
        <f>G48*G43</f>
        <v>1.0051987831429096E-2</v>
      </c>
      <c r="H49" s="125">
        <f t="shared" si="0"/>
        <v>0</v>
      </c>
    </row>
    <row r="50" spans="1:8" ht="15" customHeight="1" x14ac:dyDescent="0.25">
      <c r="A50" s="2"/>
      <c r="B50" s="699" t="s">
        <v>467</v>
      </c>
      <c r="C50" s="138" t="s">
        <v>134</v>
      </c>
      <c r="D50" s="139" t="s">
        <v>94</v>
      </c>
      <c r="E50" s="140">
        <v>0.95</v>
      </c>
      <c r="F50" s="141"/>
      <c r="G50" s="102">
        <v>0.95</v>
      </c>
      <c r="H50" s="125">
        <f t="shared" si="0"/>
        <v>0</v>
      </c>
    </row>
    <row r="51" spans="1:8" ht="15" customHeight="1" x14ac:dyDescent="0.25">
      <c r="A51" s="2"/>
      <c r="B51" s="699" t="s">
        <v>499</v>
      </c>
      <c r="C51" s="138" t="s">
        <v>92</v>
      </c>
      <c r="D51" s="149" t="s">
        <v>93</v>
      </c>
      <c r="E51" s="150">
        <v>0.95</v>
      </c>
      <c r="F51" s="151"/>
      <c r="G51" s="576">
        <v>0.95</v>
      </c>
      <c r="H51" s="125">
        <f t="shared" si="0"/>
        <v>0</v>
      </c>
    </row>
    <row r="52" spans="1:8" ht="15" customHeight="1" x14ac:dyDescent="0.25">
      <c r="A52" s="2"/>
      <c r="B52" s="699" t="s">
        <v>468</v>
      </c>
      <c r="C52" s="191" t="s">
        <v>135</v>
      </c>
      <c r="D52" s="101" t="s">
        <v>67</v>
      </c>
      <c r="E52" s="103">
        <f>E51*(E50*E41-E13)*(1.024^(E30-20))/E42</f>
        <v>0.61433975658582396</v>
      </c>
      <c r="F52" s="192"/>
      <c r="G52" s="103">
        <f>G51*(G50*G41-G13)*(1.024^(G30-20))/G42</f>
        <v>0.61433975658582396</v>
      </c>
      <c r="H52" s="125">
        <f t="shared" si="0"/>
        <v>0</v>
      </c>
    </row>
    <row r="53" spans="1:8" ht="15" customHeight="1" x14ac:dyDescent="0.25">
      <c r="A53" s="2"/>
      <c r="B53" s="699" t="s">
        <v>469</v>
      </c>
      <c r="C53" s="305" t="s">
        <v>179</v>
      </c>
      <c r="D53" s="306" t="s">
        <v>136</v>
      </c>
      <c r="E53" s="309">
        <f>E28*E18*E49*E52</f>
        <v>1.3338725236337841</v>
      </c>
      <c r="F53" s="307" t="s">
        <v>137</v>
      </c>
      <c r="G53" s="578">
        <f>G28*G18*G49*G52</f>
        <v>1.3338725236337841</v>
      </c>
      <c r="H53" s="125">
        <f t="shared" si="0"/>
        <v>0</v>
      </c>
    </row>
    <row r="54" spans="1:8" ht="15" customHeight="1" x14ac:dyDescent="0.25">
      <c r="A54" s="2"/>
      <c r="B54" s="215"/>
      <c r="C54" s="308"/>
      <c r="D54" s="302"/>
      <c r="E54" s="310">
        <f>1000*E53/60</f>
        <v>22.231208727229735</v>
      </c>
      <c r="F54" s="303" t="s">
        <v>201</v>
      </c>
      <c r="G54" s="569">
        <f>1000*G53/60</f>
        <v>22.231208727229735</v>
      </c>
      <c r="H54" s="125">
        <f t="shared" si="0"/>
        <v>0</v>
      </c>
    </row>
    <row r="55" spans="1:8" ht="15" customHeight="1" x14ac:dyDescent="0.25">
      <c r="A55" s="2"/>
      <c r="B55" s="215"/>
      <c r="C55" s="41" t="s">
        <v>180</v>
      </c>
      <c r="D55" s="152"/>
      <c r="E55" s="63">
        <f>E23*E28</f>
        <v>8.9223934455000009</v>
      </c>
      <c r="F55" s="64" t="s">
        <v>1</v>
      </c>
      <c r="G55" s="65">
        <f>G23*G28</f>
        <v>8.9223934455000009</v>
      </c>
      <c r="H55" s="125">
        <f t="shared" si="0"/>
        <v>0</v>
      </c>
    </row>
    <row r="56" spans="1:8" ht="15" customHeight="1" x14ac:dyDescent="0.25">
      <c r="A56" s="2"/>
      <c r="B56" s="215"/>
      <c r="C56" s="197" t="s">
        <v>181</v>
      </c>
      <c r="D56" s="198"/>
      <c r="E56" s="199">
        <v>1</v>
      </c>
      <c r="F56" s="200" t="s">
        <v>34</v>
      </c>
      <c r="G56" s="570">
        <v>1</v>
      </c>
      <c r="H56" s="125">
        <f t="shared" si="0"/>
        <v>0</v>
      </c>
    </row>
    <row r="57" spans="1:8" ht="15" customHeight="1" x14ac:dyDescent="0.25">
      <c r="A57" s="2"/>
      <c r="B57" s="215"/>
      <c r="C57" s="18" t="s">
        <v>80</v>
      </c>
      <c r="D57" s="8"/>
      <c r="E57" s="65">
        <f>E15</f>
        <v>4.1326530612244898</v>
      </c>
      <c r="F57" s="9" t="s">
        <v>6</v>
      </c>
      <c r="G57" s="48">
        <f>G15</f>
        <v>4.1326530612244898</v>
      </c>
      <c r="H57" s="125">
        <f t="shared" si="0"/>
        <v>0</v>
      </c>
    </row>
    <row r="58" spans="1:8" ht="15" customHeight="1" x14ac:dyDescent="0.25">
      <c r="A58" s="2"/>
      <c r="B58" s="215" t="s">
        <v>404</v>
      </c>
      <c r="C58" s="201" t="s">
        <v>53</v>
      </c>
      <c r="D58" s="36"/>
      <c r="E58" s="202">
        <v>2.6</v>
      </c>
      <c r="F58" s="203" t="s">
        <v>6</v>
      </c>
      <c r="G58" s="65">
        <v>2.6</v>
      </c>
      <c r="H58" s="125">
        <f t="shared" si="0"/>
        <v>0</v>
      </c>
    </row>
    <row r="59" spans="1:8" ht="15" customHeight="1" x14ac:dyDescent="0.25">
      <c r="A59" s="2"/>
      <c r="B59" s="215" t="s">
        <v>446</v>
      </c>
      <c r="C59" s="10" t="s">
        <v>182</v>
      </c>
      <c r="D59" s="80"/>
      <c r="E59" s="86">
        <f>'Tubería de Aireación'!E2</f>
        <v>0.58744071451010482</v>
      </c>
      <c r="F59" s="11" t="s">
        <v>6</v>
      </c>
      <c r="G59" s="65">
        <f>'Tubería de Aireación'!G2</f>
        <v>0.58744071451010482</v>
      </c>
      <c r="H59" s="125">
        <f t="shared" si="0"/>
        <v>0</v>
      </c>
    </row>
    <row r="60" spans="1:8" ht="15" customHeight="1" x14ac:dyDescent="0.25">
      <c r="A60" s="2"/>
      <c r="B60" s="215"/>
      <c r="C60" s="204" t="s">
        <v>183</v>
      </c>
      <c r="D60" s="17"/>
      <c r="E60" s="205">
        <f>SUM(E57:E59)</f>
        <v>7.3200937757345947</v>
      </c>
      <c r="F60" s="37" t="s">
        <v>6</v>
      </c>
      <c r="G60" s="65">
        <f>SUM(G57:G59)</f>
        <v>7.3200937757345947</v>
      </c>
      <c r="H60" s="125">
        <f t="shared" si="0"/>
        <v>0</v>
      </c>
    </row>
    <row r="61" spans="1:8" ht="15" customHeight="1" x14ac:dyDescent="0.25">
      <c r="A61" s="2"/>
      <c r="B61" s="215"/>
      <c r="C61" s="740" t="s">
        <v>508</v>
      </c>
      <c r="D61" s="206" t="s">
        <v>35</v>
      </c>
      <c r="E61" s="207" t="s">
        <v>62</v>
      </c>
      <c r="F61" s="207" t="s">
        <v>1</v>
      </c>
      <c r="G61" s="661" t="s">
        <v>1</v>
      </c>
      <c r="H61" s="125"/>
    </row>
    <row r="62" spans="1:8" ht="15" customHeight="1" x14ac:dyDescent="0.25">
      <c r="A62" s="2"/>
      <c r="B62" s="215"/>
      <c r="C62" s="741"/>
      <c r="D62" s="208">
        <f>F62*3.6</f>
        <v>32.120616403800007</v>
      </c>
      <c r="E62" s="209">
        <f>15.84*F62</f>
        <v>141.33071217672003</v>
      </c>
      <c r="F62" s="209">
        <f>E55/E56</f>
        <v>8.9223934455000009</v>
      </c>
      <c r="G62" s="581">
        <f>E55/E56</f>
        <v>8.9223934455000009</v>
      </c>
      <c r="H62" s="125">
        <f>G62-F62</f>
        <v>0</v>
      </c>
    </row>
    <row r="63" spans="1:8" ht="15" customHeight="1" x14ac:dyDescent="0.25">
      <c r="A63" s="2"/>
      <c r="B63" s="215"/>
      <c r="C63" s="197" t="s">
        <v>54</v>
      </c>
      <c r="D63" s="548"/>
      <c r="E63" s="549">
        <v>0.75</v>
      </c>
      <c r="F63" s="550"/>
      <c r="G63" s="571">
        <v>0.75</v>
      </c>
      <c r="H63" s="125">
        <f>G63-E63</f>
        <v>0</v>
      </c>
    </row>
    <row r="64" spans="1:8" ht="15" customHeight="1" x14ac:dyDescent="0.25">
      <c r="A64" s="2"/>
      <c r="B64" s="215"/>
      <c r="C64" s="194" t="s">
        <v>509</v>
      </c>
      <c r="D64" s="16"/>
      <c r="E64" s="195">
        <f>9.81*0.001*F62*E60/E63</f>
        <v>0.85429085796378101</v>
      </c>
      <c r="F64" s="196" t="s">
        <v>32</v>
      </c>
      <c r="G64" s="65">
        <f>9.81*0.001*G62*G60/G63</f>
        <v>0.85429085796378101</v>
      </c>
      <c r="H64" s="125">
        <f>G64-E64</f>
        <v>0</v>
      </c>
    </row>
    <row r="65" spans="1:8" ht="15" customHeight="1" x14ac:dyDescent="0.25">
      <c r="A65" s="2"/>
      <c r="B65" s="215" t="s">
        <v>252</v>
      </c>
      <c r="C65" s="6" t="s">
        <v>184</v>
      </c>
      <c r="D65" s="210"/>
      <c r="E65" s="65">
        <f>'Planta TPQA'!E71*'Planta TPQA'!E80/60</f>
        <v>5.8731940511961431</v>
      </c>
      <c r="F65" s="29" t="s">
        <v>10</v>
      </c>
      <c r="G65" s="65">
        <f>'Planta TPQA'!G71*'Planta TPQA'!G80/60</f>
        <v>5.8731940511961431</v>
      </c>
      <c r="H65" s="125">
        <f>G65-E65</f>
        <v>0</v>
      </c>
    </row>
    <row r="66" spans="1:8" ht="15" customHeight="1" x14ac:dyDescent="0.25">
      <c r="A66" s="2"/>
      <c r="B66" s="215"/>
      <c r="C66" s="211" t="s">
        <v>185</v>
      </c>
      <c r="D66" s="212"/>
      <c r="E66" s="213">
        <f>E56*E64*E65*365</f>
        <v>1831.3568345192066</v>
      </c>
      <c r="F66" s="214" t="s">
        <v>186</v>
      </c>
      <c r="G66" s="77">
        <f>G56*G64*G65*365</f>
        <v>1831.3568345192066</v>
      </c>
      <c r="H66" s="125">
        <f>G66-E66</f>
        <v>0</v>
      </c>
    </row>
    <row r="67" spans="1:8" ht="24" customHeight="1" x14ac:dyDescent="0.25">
      <c r="A67" s="2"/>
      <c r="B67" s="136"/>
      <c r="C67" s="111" t="s">
        <v>487</v>
      </c>
      <c r="D67" s="98"/>
      <c r="E67" s="112"/>
      <c r="F67" s="113"/>
      <c r="G67" s="643"/>
      <c r="H67" s="581"/>
    </row>
    <row r="68" spans="1:8" ht="15" customHeight="1" x14ac:dyDescent="0.25">
      <c r="A68" s="2"/>
      <c r="B68" s="215"/>
      <c r="C68" s="201" t="s">
        <v>273</v>
      </c>
      <c r="D68" s="328">
        <f>'Planta TPQA'!E53/Aireación!E68</f>
        <v>1.4</v>
      </c>
      <c r="E68" s="216">
        <v>2</v>
      </c>
      <c r="F68" s="32" t="s">
        <v>34</v>
      </c>
      <c r="G68" s="570">
        <v>2</v>
      </c>
      <c r="H68" s="125">
        <f>G68-E68</f>
        <v>0</v>
      </c>
    </row>
    <row r="69" spans="1:8" ht="15" customHeight="1" x14ac:dyDescent="0.25">
      <c r="A69" s="2"/>
      <c r="B69" s="215"/>
      <c r="C69" s="201" t="s">
        <v>274</v>
      </c>
      <c r="D69" s="328">
        <f>'Planta TPQA'!E54/Aireación!E69</f>
        <v>1.5</v>
      </c>
      <c r="E69" s="216">
        <v>6</v>
      </c>
      <c r="F69" s="32" t="s">
        <v>34</v>
      </c>
      <c r="G69" s="570">
        <v>6</v>
      </c>
      <c r="H69" s="125">
        <f>G69-E69</f>
        <v>0</v>
      </c>
    </row>
    <row r="70" spans="1:8" ht="15" customHeight="1" x14ac:dyDescent="0.25">
      <c r="A70" s="2"/>
      <c r="B70" s="215"/>
      <c r="C70" s="211" t="s">
        <v>238</v>
      </c>
      <c r="D70" s="325"/>
      <c r="E70" s="326">
        <f>E69*E68</f>
        <v>12</v>
      </c>
      <c r="F70" s="327" t="s">
        <v>34</v>
      </c>
      <c r="G70" s="570">
        <f>G69*G68</f>
        <v>12</v>
      </c>
      <c r="H70" s="125">
        <f>G70-E70</f>
        <v>0</v>
      </c>
    </row>
    <row r="71" spans="1:8" ht="15" customHeight="1" x14ac:dyDescent="0.25">
      <c r="A71" s="2"/>
      <c r="B71" s="217"/>
      <c r="C71" s="23" t="s">
        <v>126</v>
      </c>
      <c r="D71" s="218"/>
      <c r="E71" s="8" t="s">
        <v>187</v>
      </c>
      <c r="F71" s="19"/>
      <c r="G71" s="79" t="s">
        <v>187</v>
      </c>
      <c r="H71" s="125"/>
    </row>
    <row r="72" spans="1:8" ht="15" customHeight="1" x14ac:dyDescent="0.25">
      <c r="A72" s="2"/>
      <c r="B72" s="215" t="s">
        <v>202</v>
      </c>
      <c r="C72" s="317" t="s">
        <v>408</v>
      </c>
      <c r="D72" s="46"/>
      <c r="E72" s="366" t="s">
        <v>188</v>
      </c>
      <c r="F72" s="319" t="s">
        <v>14</v>
      </c>
      <c r="G72" s="572" t="s">
        <v>188</v>
      </c>
      <c r="H72" s="125"/>
    </row>
    <row r="73" spans="1:8" ht="15" customHeight="1" x14ac:dyDescent="0.25">
      <c r="A73" s="2"/>
      <c r="B73" s="708" t="s">
        <v>173</v>
      </c>
      <c r="C73" s="358" t="s">
        <v>407</v>
      </c>
      <c r="D73" s="359" t="s">
        <v>302</v>
      </c>
      <c r="E73" s="360">
        <v>8</v>
      </c>
      <c r="F73" s="361" t="s">
        <v>14</v>
      </c>
      <c r="G73" s="102">
        <v>8</v>
      </c>
      <c r="H73" s="125">
        <f t="shared" ref="H73:H103" si="1">G73-E73</f>
        <v>0</v>
      </c>
    </row>
    <row r="74" spans="1:8" ht="15" customHeight="1" x14ac:dyDescent="0.25">
      <c r="A74" s="2"/>
      <c r="B74" s="217"/>
      <c r="C74" s="362"/>
      <c r="D74" s="363"/>
      <c r="E74" s="364">
        <f>E73/3.6</f>
        <v>2.2222222222222223</v>
      </c>
      <c r="F74" s="365" t="s">
        <v>45</v>
      </c>
      <c r="G74" s="102">
        <f>G73/3.6</f>
        <v>2.2222222222222223</v>
      </c>
      <c r="H74" s="125">
        <f t="shared" si="1"/>
        <v>0</v>
      </c>
    </row>
    <row r="75" spans="1:8" ht="15" customHeight="1" x14ac:dyDescent="0.25">
      <c r="A75" s="2"/>
      <c r="B75" s="217"/>
      <c r="C75" s="224" t="s">
        <v>237</v>
      </c>
      <c r="D75" s="225"/>
      <c r="E75" s="226">
        <f>E70*E74</f>
        <v>26.666666666666668</v>
      </c>
      <c r="F75" s="219" t="s">
        <v>45</v>
      </c>
      <c r="G75" s="573">
        <f>G70*G74</f>
        <v>26.666666666666668</v>
      </c>
      <c r="H75" s="125">
        <f t="shared" si="1"/>
        <v>0</v>
      </c>
    </row>
    <row r="76" spans="1:8" ht="15" customHeight="1" x14ac:dyDescent="0.25">
      <c r="A76" s="2"/>
      <c r="B76" s="217"/>
      <c r="C76" s="227" t="s">
        <v>189</v>
      </c>
      <c r="D76" s="228"/>
      <c r="E76" s="229">
        <f>E33/9.8</f>
        <v>9.2197737555087791</v>
      </c>
      <c r="F76" s="230" t="s">
        <v>190</v>
      </c>
      <c r="G76" s="102">
        <f>G33/9.8</f>
        <v>9.2197737555087791</v>
      </c>
      <c r="H76" s="125">
        <f t="shared" si="1"/>
        <v>0</v>
      </c>
    </row>
    <row r="77" spans="1:8" ht="15" customHeight="1" x14ac:dyDescent="0.25">
      <c r="A77" s="2"/>
      <c r="B77" s="217"/>
      <c r="C77" s="227" t="s">
        <v>233</v>
      </c>
      <c r="D77" s="228"/>
      <c r="E77" s="229">
        <f>E87+E76</f>
        <v>10.343107088842112</v>
      </c>
      <c r="F77" s="230" t="s">
        <v>190</v>
      </c>
      <c r="G77" s="102">
        <f>G87+G76</f>
        <v>10.343107088842112</v>
      </c>
      <c r="H77" s="125">
        <f t="shared" si="1"/>
        <v>0</v>
      </c>
    </row>
    <row r="78" spans="1:8" ht="15" customHeight="1" x14ac:dyDescent="0.25">
      <c r="A78" s="2"/>
      <c r="B78" s="217"/>
      <c r="C78" s="227" t="s">
        <v>191</v>
      </c>
      <c r="D78" s="228"/>
      <c r="E78" s="229">
        <f>E31/9.8</f>
        <v>10.339795918367345</v>
      </c>
      <c r="F78" s="230" t="s">
        <v>190</v>
      </c>
      <c r="G78" s="102">
        <f>G31/9.8</f>
        <v>10.339795918367345</v>
      </c>
      <c r="H78" s="125">
        <f t="shared" si="1"/>
        <v>0</v>
      </c>
    </row>
    <row r="79" spans="1:8" ht="15" customHeight="1" x14ac:dyDescent="0.25">
      <c r="A79" s="2"/>
      <c r="B79" s="217"/>
      <c r="C79" s="231" t="s">
        <v>192</v>
      </c>
      <c r="D79" s="232"/>
      <c r="E79" s="233">
        <f>E75*E77/E76</f>
        <v>29.915722050228243</v>
      </c>
      <c r="F79" s="234" t="s">
        <v>1</v>
      </c>
      <c r="G79" s="102">
        <f>G75*G77/G76</f>
        <v>29.915722050228243</v>
      </c>
      <c r="H79" s="125">
        <f t="shared" si="1"/>
        <v>0</v>
      </c>
    </row>
    <row r="80" spans="1:8" ht="15" customHeight="1" x14ac:dyDescent="0.25">
      <c r="A80" s="2"/>
      <c r="B80" s="217"/>
      <c r="C80" s="227" t="s">
        <v>193</v>
      </c>
      <c r="D80" s="101"/>
      <c r="E80" s="229">
        <f>E79*E78/E76</f>
        <v>33.549897096459986</v>
      </c>
      <c r="F80" s="230" t="s">
        <v>1</v>
      </c>
      <c r="G80" s="102">
        <f>G79*G78/G76</f>
        <v>33.549897096459986</v>
      </c>
      <c r="H80" s="125">
        <f t="shared" si="1"/>
        <v>0</v>
      </c>
    </row>
    <row r="81" spans="1:8" ht="15" customHeight="1" x14ac:dyDescent="0.25">
      <c r="A81" s="2"/>
      <c r="B81" s="217"/>
      <c r="C81" s="235" t="s">
        <v>194</v>
      </c>
      <c r="D81" s="236"/>
      <c r="E81" s="237">
        <v>1.204</v>
      </c>
      <c r="F81" s="238" t="s">
        <v>13</v>
      </c>
      <c r="G81" s="102">
        <v>1.204</v>
      </c>
      <c r="H81" s="125">
        <f t="shared" si="1"/>
        <v>0</v>
      </c>
    </row>
    <row r="82" spans="1:8" ht="15" customHeight="1" x14ac:dyDescent="0.25">
      <c r="A82" s="2"/>
      <c r="B82" s="217"/>
      <c r="C82" s="239" t="s">
        <v>195</v>
      </c>
      <c r="D82" s="236"/>
      <c r="E82" s="240">
        <v>0.20899999999999999</v>
      </c>
      <c r="F82" s="238"/>
      <c r="G82" s="574">
        <v>0.20899999999999999</v>
      </c>
      <c r="H82" s="125">
        <f t="shared" si="1"/>
        <v>0</v>
      </c>
    </row>
    <row r="83" spans="1:8" ht="15" customHeight="1" x14ac:dyDescent="0.25">
      <c r="A83" s="2"/>
      <c r="B83" s="217"/>
      <c r="C83" s="227" t="s">
        <v>196</v>
      </c>
      <c r="D83" s="101"/>
      <c r="E83" s="102">
        <f>E81*E82</f>
        <v>0.25163599999999997</v>
      </c>
      <c r="F83" s="192" t="s">
        <v>13</v>
      </c>
      <c r="G83" s="102">
        <f>G81*G82</f>
        <v>0.25163599999999997</v>
      </c>
      <c r="H83" s="125">
        <f t="shared" si="1"/>
        <v>0</v>
      </c>
    </row>
    <row r="84" spans="1:8" ht="15" customHeight="1" x14ac:dyDescent="0.25">
      <c r="A84" s="2"/>
      <c r="B84" s="217"/>
      <c r="C84" s="227" t="s">
        <v>197</v>
      </c>
      <c r="D84" s="101"/>
      <c r="E84" s="102">
        <f>3.6*E80*E83</f>
        <v>30.392502860753297</v>
      </c>
      <c r="F84" s="192" t="s">
        <v>52</v>
      </c>
      <c r="G84" s="102">
        <f>3.6*G80*G83</f>
        <v>30.392502860753297</v>
      </c>
      <c r="H84" s="125">
        <f t="shared" si="1"/>
        <v>0</v>
      </c>
    </row>
    <row r="85" spans="1:8" ht="15" customHeight="1" x14ac:dyDescent="0.25">
      <c r="A85" s="2"/>
      <c r="B85" s="215" t="s">
        <v>252</v>
      </c>
      <c r="C85" s="6" t="s">
        <v>37</v>
      </c>
      <c r="D85" s="8"/>
      <c r="E85" s="65">
        <f>'Planta TPQA'!E58</f>
        <v>1.4000000000000001</v>
      </c>
      <c r="F85" s="29" t="s">
        <v>6</v>
      </c>
      <c r="G85" s="65">
        <f>'Planta TPQA'!G58</f>
        <v>1.4000000000000001</v>
      </c>
      <c r="H85" s="125">
        <f t="shared" si="1"/>
        <v>0</v>
      </c>
    </row>
    <row r="86" spans="1:8" ht="15" customHeight="1" x14ac:dyDescent="0.25">
      <c r="A86" s="2"/>
      <c r="B86" s="217"/>
      <c r="C86" s="315" t="s">
        <v>234</v>
      </c>
      <c r="D86" s="316"/>
      <c r="E86" s="88">
        <v>0.1</v>
      </c>
      <c r="F86" s="321" t="s">
        <v>6</v>
      </c>
      <c r="G86" s="88">
        <v>0.1</v>
      </c>
      <c r="H86" s="125">
        <f t="shared" si="1"/>
        <v>0</v>
      </c>
    </row>
    <row r="87" spans="1:8" ht="15" customHeight="1" x14ac:dyDescent="0.25">
      <c r="A87" s="2"/>
      <c r="B87" s="215" t="s">
        <v>252</v>
      </c>
      <c r="C87" s="220" t="s">
        <v>301</v>
      </c>
      <c r="D87" s="221"/>
      <c r="E87" s="222">
        <f>E85-E86-'Planta TPQA'!E68/2</f>
        <v>1.1233333333333333</v>
      </c>
      <c r="F87" s="223" t="s">
        <v>6</v>
      </c>
      <c r="G87" s="222">
        <f>G85-G86-'Planta TPQA'!G68/2</f>
        <v>1.1233333333333333</v>
      </c>
      <c r="H87" s="125">
        <f t="shared" si="1"/>
        <v>0</v>
      </c>
    </row>
    <row r="88" spans="1:8" ht="15" customHeight="1" x14ac:dyDescent="0.25">
      <c r="A88" s="2"/>
      <c r="B88" s="217"/>
      <c r="C88" s="317" t="s">
        <v>406</v>
      </c>
      <c r="D88" s="46"/>
      <c r="E88" s="318">
        <v>0.02</v>
      </c>
      <c r="F88" s="319"/>
      <c r="G88" s="575">
        <v>0.02</v>
      </c>
      <c r="H88" s="125">
        <f t="shared" si="1"/>
        <v>0</v>
      </c>
    </row>
    <row r="89" spans="1:8" ht="15" customHeight="1" x14ac:dyDescent="0.25">
      <c r="A89" s="2"/>
      <c r="B89" s="217"/>
      <c r="C89" s="6" t="s">
        <v>236</v>
      </c>
      <c r="D89" s="8"/>
      <c r="E89" s="320">
        <f>E88*(E87/0.305)</f>
        <v>7.3661202185792349E-2</v>
      </c>
      <c r="F89" s="29"/>
      <c r="G89" s="320">
        <f>G88*(G87/0.305)</f>
        <v>7.3661202185792349E-2</v>
      </c>
      <c r="H89" s="125">
        <f t="shared" si="1"/>
        <v>0</v>
      </c>
    </row>
    <row r="90" spans="1:8" ht="15" customHeight="1" x14ac:dyDescent="0.25">
      <c r="A90" s="2"/>
      <c r="B90" s="217"/>
      <c r="C90" s="322" t="s">
        <v>198</v>
      </c>
      <c r="D90" s="323" t="s">
        <v>145</v>
      </c>
      <c r="E90" s="324">
        <f>E84*E89</f>
        <v>2.238748298158221</v>
      </c>
      <c r="F90" s="314" t="s">
        <v>52</v>
      </c>
      <c r="G90" s="102">
        <f>G84*G89</f>
        <v>2.238748298158221</v>
      </c>
      <c r="H90" s="125">
        <f t="shared" si="1"/>
        <v>0</v>
      </c>
    </row>
    <row r="91" spans="1:8" ht="15" customHeight="1" x14ac:dyDescent="0.35">
      <c r="A91" s="2"/>
      <c r="B91" s="217"/>
      <c r="C91" s="161" t="s">
        <v>155</v>
      </c>
      <c r="D91" s="241" t="s">
        <v>156</v>
      </c>
      <c r="E91" s="162">
        <f>VLOOKUP(ROUND(E30,0),'Agua-T°C'!B6:I46,6)</f>
        <v>8.24</v>
      </c>
      <c r="F91" s="192" t="s">
        <v>8</v>
      </c>
      <c r="G91" s="65">
        <f>VLOOKUP(ROUND(G30,0),'Agua-T°C'!B6:I46,6)</f>
        <v>8.24</v>
      </c>
      <c r="H91" s="125">
        <f t="shared" si="1"/>
        <v>0</v>
      </c>
    </row>
    <row r="92" spans="1:8" ht="15" customHeight="1" x14ac:dyDescent="0.35">
      <c r="A92" s="2"/>
      <c r="B92" s="217"/>
      <c r="C92" s="161" t="s">
        <v>157</v>
      </c>
      <c r="D92" s="241" t="s">
        <v>158</v>
      </c>
      <c r="E92" s="170">
        <f>E91*EXP(E32)</f>
        <v>7.3474308724449315</v>
      </c>
      <c r="F92" s="192" t="s">
        <v>8</v>
      </c>
      <c r="G92" s="88">
        <f>G91*EXP(G32)</f>
        <v>7.3474308724449315</v>
      </c>
      <c r="H92" s="125">
        <f t="shared" si="1"/>
        <v>0</v>
      </c>
    </row>
    <row r="93" spans="1:8" ht="15" customHeight="1" x14ac:dyDescent="0.25">
      <c r="A93" s="2"/>
      <c r="B93" s="215" t="s">
        <v>251</v>
      </c>
      <c r="C93" s="178" t="s">
        <v>128</v>
      </c>
      <c r="D93" s="179" t="s">
        <v>161</v>
      </c>
      <c r="E93" s="180">
        <f>'Agua-T°C'!G26</f>
        <v>9.08</v>
      </c>
      <c r="F93" s="181" t="s">
        <v>8</v>
      </c>
      <c r="G93" s="565">
        <f>'Agua-T°C'!G26</f>
        <v>9.08</v>
      </c>
      <c r="H93" s="125">
        <f t="shared" si="1"/>
        <v>0</v>
      </c>
    </row>
    <row r="94" spans="1:8" ht="15" customHeight="1" x14ac:dyDescent="0.25">
      <c r="A94" s="2"/>
      <c r="B94" s="699" t="s">
        <v>467</v>
      </c>
      <c r="C94" s="138" t="s">
        <v>134</v>
      </c>
      <c r="D94" s="139" t="s">
        <v>94</v>
      </c>
      <c r="E94" s="140">
        <v>0.95</v>
      </c>
      <c r="F94" s="141"/>
      <c r="G94" s="102">
        <v>0.95</v>
      </c>
      <c r="H94" s="125">
        <f t="shared" si="1"/>
        <v>0</v>
      </c>
    </row>
    <row r="95" spans="1:8" ht="15" customHeight="1" x14ac:dyDescent="0.25">
      <c r="A95" s="2"/>
      <c r="B95" s="699" t="s">
        <v>499</v>
      </c>
      <c r="C95" s="138" t="s">
        <v>92</v>
      </c>
      <c r="D95" s="149" t="s">
        <v>93</v>
      </c>
      <c r="E95" s="150">
        <v>0.6</v>
      </c>
      <c r="F95" s="151"/>
      <c r="G95" s="576">
        <v>0.6</v>
      </c>
      <c r="H95" s="125">
        <f t="shared" si="1"/>
        <v>0</v>
      </c>
    </row>
    <row r="96" spans="1:8" ht="15" customHeight="1" x14ac:dyDescent="0.25">
      <c r="A96" s="2"/>
      <c r="B96" s="699" t="s">
        <v>468</v>
      </c>
      <c r="C96" s="243" t="s">
        <v>199</v>
      </c>
      <c r="D96" s="244" t="s">
        <v>67</v>
      </c>
      <c r="E96" s="245">
        <f>(E95*(E94*E92-E13)*(1.024^(E30-20))/E93)</f>
        <v>0.37050980183208376</v>
      </c>
      <c r="F96" s="246"/>
      <c r="G96" s="577">
        <f>(G95*(G94*G92-G13)*(1.024^(G30-20))/G93)</f>
        <v>0.37050980183208376</v>
      </c>
      <c r="H96" s="125">
        <f t="shared" si="1"/>
        <v>0</v>
      </c>
    </row>
    <row r="97" spans="1:8" ht="15" customHeight="1" x14ac:dyDescent="0.25">
      <c r="A97" s="2"/>
      <c r="B97" s="699" t="s">
        <v>469</v>
      </c>
      <c r="C97" s="305" t="s">
        <v>200</v>
      </c>
      <c r="D97" s="306" t="s">
        <v>136</v>
      </c>
      <c r="E97" s="309">
        <f>E90*E96</f>
        <v>0.82947818830251718</v>
      </c>
      <c r="F97" s="307" t="s">
        <v>52</v>
      </c>
      <c r="G97" s="578">
        <f>G90*G96</f>
        <v>0.82947818830251718</v>
      </c>
      <c r="H97" s="125">
        <f t="shared" si="1"/>
        <v>0</v>
      </c>
    </row>
    <row r="98" spans="1:8" ht="15" customHeight="1" x14ac:dyDescent="0.25">
      <c r="A98" s="2"/>
      <c r="B98" s="217"/>
      <c r="C98" s="308"/>
      <c r="D98" s="302"/>
      <c r="E98" s="304">
        <f>1000*E97/60</f>
        <v>13.824636471708621</v>
      </c>
      <c r="F98" s="303" t="s">
        <v>201</v>
      </c>
      <c r="G98" s="579">
        <f>1000*G97/60</f>
        <v>13.824636471708621</v>
      </c>
      <c r="H98" s="125">
        <f t="shared" si="1"/>
        <v>0</v>
      </c>
    </row>
    <row r="99" spans="1:8" ht="15" customHeight="1" x14ac:dyDescent="0.25">
      <c r="A99" s="2"/>
      <c r="B99" s="248"/>
      <c r="C99" s="249" t="s">
        <v>26</v>
      </c>
      <c r="D99" s="250"/>
      <c r="E99" s="251">
        <f>E87</f>
        <v>1.1233333333333333</v>
      </c>
      <c r="F99" s="252" t="s">
        <v>6</v>
      </c>
      <c r="G99" s="457">
        <f>G87</f>
        <v>1.1233333333333333</v>
      </c>
      <c r="H99" s="125">
        <f t="shared" si="1"/>
        <v>0</v>
      </c>
    </row>
    <row r="100" spans="1:8" ht="15" customHeight="1" x14ac:dyDescent="0.25">
      <c r="A100" s="2"/>
      <c r="B100" s="253"/>
      <c r="C100" s="254"/>
      <c r="D100" s="20"/>
      <c r="E100" s="255">
        <f>E99*9.8</f>
        <v>11.008666666666667</v>
      </c>
      <c r="F100" s="89" t="s">
        <v>23</v>
      </c>
      <c r="G100" s="247">
        <f>G99*9.8</f>
        <v>11.008666666666667</v>
      </c>
      <c r="H100" s="125">
        <f t="shared" si="1"/>
        <v>0</v>
      </c>
    </row>
    <row r="101" spans="1:8" ht="15" customHeight="1" x14ac:dyDescent="0.25">
      <c r="A101" s="2"/>
      <c r="B101" s="215"/>
      <c r="C101" s="23" t="s">
        <v>28</v>
      </c>
      <c r="D101" s="8" t="s">
        <v>29</v>
      </c>
      <c r="E101" s="229">
        <f>101325*(E33/E31)*28.97/(8314*(273.15+E30))</f>
        <v>1.0559140552855111</v>
      </c>
      <c r="F101" s="9" t="s">
        <v>30</v>
      </c>
      <c r="G101" s="102">
        <f>101325*(G33/G31)*28.97/(8314*(273.15+G30))</f>
        <v>1.0559140552855111</v>
      </c>
      <c r="H101" s="125">
        <f t="shared" si="1"/>
        <v>0</v>
      </c>
    </row>
    <row r="102" spans="1:8" ht="15" customHeight="1" x14ac:dyDescent="0.25">
      <c r="A102" s="2"/>
      <c r="B102" s="215" t="s">
        <v>202</v>
      </c>
      <c r="C102" s="204" t="s">
        <v>27</v>
      </c>
      <c r="D102" s="256"/>
      <c r="E102" s="257">
        <v>0.67</v>
      </c>
      <c r="F102" s="258"/>
      <c r="G102" s="580">
        <v>0.67</v>
      </c>
      <c r="H102" s="125">
        <f t="shared" si="1"/>
        <v>0</v>
      </c>
    </row>
    <row r="103" spans="1:8" ht="15" customHeight="1" x14ac:dyDescent="0.25">
      <c r="A103" s="2"/>
      <c r="B103" s="709"/>
      <c r="C103" s="156" t="s">
        <v>203</v>
      </c>
      <c r="D103" s="259"/>
      <c r="E103" s="260">
        <f>(0.001*E79*E101)*8.314*(273.15+E30)*(((E33+E100)/E33)^0.283-1)/(29.7*0.283*E102)</f>
        <v>0.45984327725275131</v>
      </c>
      <c r="F103" s="261" t="s">
        <v>32</v>
      </c>
      <c r="G103" s="102">
        <f>(0.001*G79*G101)*8.314*(273.15+G30)*(((G33+G100)/G33)^0.283-1)/(29.7*0.283*G102)</f>
        <v>0.45984327725275131</v>
      </c>
      <c r="H103" s="125">
        <f t="shared" si="1"/>
        <v>0</v>
      </c>
    </row>
    <row r="104" spans="1:8" ht="15" customHeight="1" x14ac:dyDescent="0.25">
      <c r="A104" s="2"/>
      <c r="B104" s="215"/>
      <c r="C104" s="262" t="s">
        <v>78</v>
      </c>
      <c r="D104" s="263"/>
      <c r="E104" s="155"/>
      <c r="F104" s="264"/>
      <c r="G104" s="643"/>
      <c r="H104" s="581"/>
    </row>
    <row r="105" spans="1:8" ht="15" customHeight="1" x14ac:dyDescent="0.25">
      <c r="A105" s="2"/>
      <c r="B105" s="215"/>
      <c r="C105" s="742" t="s">
        <v>76</v>
      </c>
      <c r="D105" s="265" t="s">
        <v>35</v>
      </c>
      <c r="E105" s="266" t="s">
        <v>62</v>
      </c>
      <c r="F105" s="266" t="s">
        <v>1</v>
      </c>
      <c r="G105" s="661" t="s">
        <v>1</v>
      </c>
      <c r="H105" s="125"/>
    </row>
    <row r="106" spans="1:8" ht="15" customHeight="1" x14ac:dyDescent="0.25">
      <c r="A106" s="2"/>
      <c r="B106" s="217"/>
      <c r="C106" s="743"/>
      <c r="D106" s="267">
        <f>F106*3.6</f>
        <v>107.69659938082168</v>
      </c>
      <c r="E106" s="268">
        <f>15.84*F106</f>
        <v>473.86503727561535</v>
      </c>
      <c r="F106" s="269">
        <f>E79</f>
        <v>29.915722050228243</v>
      </c>
      <c r="G106" s="581">
        <f>G79</f>
        <v>29.915722050228243</v>
      </c>
      <c r="H106" s="125">
        <f>G106-F106</f>
        <v>0</v>
      </c>
    </row>
    <row r="107" spans="1:8" ht="15" customHeight="1" x14ac:dyDescent="0.25">
      <c r="A107" s="2"/>
      <c r="B107" s="217"/>
      <c r="C107" s="270" t="s">
        <v>204</v>
      </c>
      <c r="D107" s="271"/>
      <c r="E107" s="272">
        <f>E99</f>
        <v>1.1233333333333333</v>
      </c>
      <c r="F107" s="273" t="s">
        <v>6</v>
      </c>
      <c r="G107" s="102">
        <f>G99</f>
        <v>1.1233333333333333</v>
      </c>
      <c r="H107" s="125">
        <f t="shared" ref="H107:H116" si="2">G107-E107</f>
        <v>0</v>
      </c>
    </row>
    <row r="108" spans="1:8" ht="15" customHeight="1" x14ac:dyDescent="0.25">
      <c r="A108" s="2"/>
      <c r="B108" s="708" t="s">
        <v>423</v>
      </c>
      <c r="C108" s="274" t="s">
        <v>75</v>
      </c>
      <c r="D108" s="275"/>
      <c r="E108" s="276">
        <v>0.3</v>
      </c>
      <c r="F108" s="277" t="s">
        <v>6</v>
      </c>
      <c r="G108" s="276">
        <v>0.3</v>
      </c>
      <c r="H108" s="125">
        <f t="shared" si="2"/>
        <v>0</v>
      </c>
    </row>
    <row r="109" spans="1:8" ht="15" customHeight="1" x14ac:dyDescent="0.25">
      <c r="A109" s="2"/>
      <c r="B109" s="217"/>
      <c r="C109" s="156" t="s">
        <v>205</v>
      </c>
      <c r="D109" s="259"/>
      <c r="E109" s="260">
        <f>SUM(E107:E108)</f>
        <v>1.4233333333333333</v>
      </c>
      <c r="F109" s="261" t="s">
        <v>190</v>
      </c>
      <c r="G109" s="102">
        <f>SUM(G107:G108)</f>
        <v>1.4233333333333333</v>
      </c>
      <c r="H109" s="125">
        <f t="shared" si="2"/>
        <v>0</v>
      </c>
    </row>
    <row r="110" spans="1:8" ht="15" customHeight="1" x14ac:dyDescent="0.25">
      <c r="A110" s="2"/>
      <c r="B110" s="217"/>
      <c r="C110" s="204" t="s">
        <v>27</v>
      </c>
      <c r="D110" s="256"/>
      <c r="E110" s="257">
        <f>E102</f>
        <v>0.67</v>
      </c>
      <c r="F110" s="278"/>
      <c r="G110" s="580">
        <f>G102</f>
        <v>0.67</v>
      </c>
      <c r="H110" s="125">
        <f t="shared" si="2"/>
        <v>0</v>
      </c>
    </row>
    <row r="111" spans="1:8" ht="15" customHeight="1" x14ac:dyDescent="0.25">
      <c r="A111" s="2"/>
      <c r="B111" s="217"/>
      <c r="C111" s="30" t="s">
        <v>36</v>
      </c>
      <c r="D111" s="31"/>
      <c r="E111" s="216">
        <v>2</v>
      </c>
      <c r="F111" s="32" t="s">
        <v>34</v>
      </c>
      <c r="G111" s="570">
        <v>2</v>
      </c>
      <c r="H111" s="125">
        <f t="shared" si="2"/>
        <v>0</v>
      </c>
    </row>
    <row r="112" spans="1:8" ht="15" customHeight="1" x14ac:dyDescent="0.25">
      <c r="A112" s="2"/>
      <c r="B112" s="217"/>
      <c r="C112" s="279" t="s">
        <v>203</v>
      </c>
      <c r="D112" s="280"/>
      <c r="E112" s="281">
        <f>E103/E111</f>
        <v>0.22992163862637566</v>
      </c>
      <c r="F112" s="282" t="s">
        <v>32</v>
      </c>
      <c r="G112" s="193">
        <f>G103/G111</f>
        <v>0.22992163862637566</v>
      </c>
      <c r="H112" s="125">
        <f t="shared" si="2"/>
        <v>0</v>
      </c>
    </row>
    <row r="113" spans="1:8" ht="15" customHeight="1" x14ac:dyDescent="0.25">
      <c r="A113" s="2"/>
      <c r="B113" s="215" t="s">
        <v>252</v>
      </c>
      <c r="C113" s="270" t="s">
        <v>390</v>
      </c>
      <c r="D113" s="210"/>
      <c r="E113" s="65">
        <f>'Planta TPQA'!E72*'Planta TPQA'!E80/60</f>
        <v>9.8873486993475606</v>
      </c>
      <c r="F113" s="29" t="s">
        <v>389</v>
      </c>
      <c r="G113" s="65">
        <f>'Planta TPQA'!G72*'Planta TPQA'!G80/60</f>
        <v>9.8873486993475606</v>
      </c>
      <c r="H113" s="125">
        <f t="shared" si="2"/>
        <v>0</v>
      </c>
    </row>
    <row r="114" spans="1:8" ht="15" customHeight="1" x14ac:dyDescent="0.25">
      <c r="A114" s="2"/>
      <c r="B114" s="217"/>
      <c r="C114" s="211" t="s">
        <v>206</v>
      </c>
      <c r="D114" s="283"/>
      <c r="E114" s="213">
        <f>E111*E112*E113*365</f>
        <v>1659.5202526757791</v>
      </c>
      <c r="F114" s="214" t="s">
        <v>186</v>
      </c>
      <c r="G114" s="77">
        <f>G111*G112*G113*365</f>
        <v>1659.5202526757791</v>
      </c>
      <c r="H114" s="125">
        <f t="shared" si="2"/>
        <v>0</v>
      </c>
    </row>
    <row r="115" spans="1:8" ht="15" customHeight="1" x14ac:dyDescent="0.25">
      <c r="A115" s="2"/>
      <c r="B115" s="217"/>
      <c r="C115" s="12" t="s">
        <v>207</v>
      </c>
      <c r="D115" s="284"/>
      <c r="E115" s="285">
        <f>E114+E66</f>
        <v>3490.8770871949855</v>
      </c>
      <c r="F115" s="286" t="s">
        <v>186</v>
      </c>
      <c r="G115" s="77">
        <f>G114+G66</f>
        <v>3490.8770871949855</v>
      </c>
      <c r="H115" s="125">
        <f t="shared" si="2"/>
        <v>0</v>
      </c>
    </row>
    <row r="116" spans="1:8" ht="15" customHeight="1" x14ac:dyDescent="0.25">
      <c r="A116" s="2"/>
      <c r="B116" s="215" t="s">
        <v>252</v>
      </c>
      <c r="C116" s="287" t="s">
        <v>208</v>
      </c>
      <c r="D116" s="288"/>
      <c r="E116" s="289">
        <f>E115/(365*'Planta TPQA'!E125)</f>
        <v>7.1951741079297957E-2</v>
      </c>
      <c r="F116" s="290" t="s">
        <v>209</v>
      </c>
      <c r="G116" s="577">
        <f>G115/(365*'Planta TPQA'!G125)</f>
        <v>7.1951741079297957E-2</v>
      </c>
      <c r="H116" s="125">
        <f t="shared" si="2"/>
        <v>0</v>
      </c>
    </row>
    <row r="117" spans="1:8" ht="15" customHeight="1" x14ac:dyDescent="0.25">
      <c r="B117" s="136"/>
      <c r="C117" s="43"/>
      <c r="D117" s="291"/>
      <c r="E117" s="82"/>
      <c r="F117" s="42"/>
      <c r="G117" s="82"/>
      <c r="H117" s="193"/>
    </row>
    <row r="118" spans="1:8" ht="15" customHeight="1" x14ac:dyDescent="0.25">
      <c r="B118" s="136"/>
      <c r="C118" s="43"/>
      <c r="D118" s="291"/>
      <c r="E118" s="82"/>
      <c r="F118" s="42"/>
      <c r="G118" s="82"/>
      <c r="H118" s="193"/>
    </row>
    <row r="119" spans="1:8" ht="15" customHeight="1" x14ac:dyDescent="0.25">
      <c r="B119" s="136"/>
      <c r="C119" s="43"/>
      <c r="D119" s="291"/>
      <c r="E119" s="82"/>
      <c r="F119" s="42"/>
      <c r="G119" s="82"/>
      <c r="H119" s="193"/>
    </row>
    <row r="121" spans="1:8" ht="15.75" customHeight="1" x14ac:dyDescent="0.25">
      <c r="B121" s="744"/>
      <c r="C121" s="744"/>
    </row>
    <row r="122" spans="1:8" ht="15" customHeight="1" x14ac:dyDescent="0.25">
      <c r="B122" s="745"/>
      <c r="C122" s="745"/>
    </row>
    <row r="123" spans="1:8" x14ac:dyDescent="0.25">
      <c r="B123" s="710"/>
      <c r="C123" s="596"/>
    </row>
    <row r="124" spans="1:8" ht="15" customHeight="1" x14ac:dyDescent="0.25">
      <c r="B124" s="710"/>
      <c r="C124" s="596"/>
    </row>
    <row r="125" spans="1:8" ht="15" customHeight="1" x14ac:dyDescent="0.25">
      <c r="B125" s="710"/>
      <c r="C125" s="710"/>
      <c r="D125" s="710"/>
      <c r="E125" s="710"/>
    </row>
    <row r="126" spans="1:8" ht="15" customHeight="1" x14ac:dyDescent="0.25">
      <c r="B126" s="710"/>
      <c r="C126" s="710"/>
      <c r="D126" s="710"/>
      <c r="E126" s="710"/>
    </row>
    <row r="127" spans="1:8" x14ac:dyDescent="0.25">
      <c r="B127" s="710"/>
      <c r="C127" s="710"/>
    </row>
    <row r="128" spans="1:8" ht="15" customHeight="1" x14ac:dyDescent="0.25">
      <c r="B128" s="710"/>
      <c r="C128" s="710"/>
      <c r="D128" s="710"/>
      <c r="E128" s="710"/>
    </row>
    <row r="129" spans="2:5" ht="15" customHeight="1" x14ac:dyDescent="0.25">
      <c r="B129" s="710"/>
      <c r="C129" s="710"/>
      <c r="D129" s="710"/>
      <c r="E129" s="710"/>
    </row>
    <row r="130" spans="2:5" ht="15" customHeight="1" x14ac:dyDescent="0.25">
      <c r="B130" s="710"/>
      <c r="C130" s="710"/>
      <c r="D130" s="710"/>
      <c r="E130" s="710"/>
    </row>
  </sheetData>
  <mergeCells count="4">
    <mergeCell ref="C61:C62"/>
    <mergeCell ref="C105:C106"/>
    <mergeCell ref="B121:C121"/>
    <mergeCell ref="B122:C1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6"/>
  <sheetViews>
    <sheetView showGridLines="0" tabSelected="1" topLeftCell="C11" zoomScale="75" zoomScaleNormal="75" workbookViewId="0">
      <selection activeCell="K25" sqref="K25"/>
    </sheetView>
  </sheetViews>
  <sheetFormatPr baseColWidth="10" defaultRowHeight="14.25" x14ac:dyDescent="0.2"/>
  <cols>
    <col min="1" max="1" width="23.5703125" style="14" customWidth="1"/>
    <col min="2" max="2" width="50.42578125" style="67" customWidth="1"/>
    <col min="3" max="3" width="58.42578125" style="14" customWidth="1"/>
    <col min="4" max="4" width="20.42578125" style="15" customWidth="1"/>
    <col min="5" max="5" width="10.42578125" style="69" customWidth="1"/>
    <col min="6" max="6" width="18.28515625" style="14" customWidth="1"/>
    <col min="7" max="8" width="13.85546875" style="14" customWidth="1"/>
    <col min="9" max="9" width="17.7109375" style="14" customWidth="1"/>
    <col min="10" max="10" width="17.140625" style="14" customWidth="1"/>
    <col min="11" max="11" width="11.42578125" style="14"/>
    <col min="12" max="12" width="19.42578125" style="14" customWidth="1"/>
    <col min="13" max="257" width="11.42578125" style="14"/>
    <col min="258" max="258" width="7.28515625" style="14" customWidth="1"/>
    <col min="259" max="259" width="37.7109375" style="14" customWidth="1"/>
    <col min="260" max="260" width="17.85546875" style="14" customWidth="1"/>
    <col min="261" max="261" width="12.28515625" style="14" bestFit="1" customWidth="1"/>
    <col min="262" max="262" width="11.42578125" style="14"/>
    <col min="263" max="263" width="24.140625" style="14" customWidth="1"/>
    <col min="264" max="265" width="11.42578125" style="14"/>
    <col min="266" max="266" width="17.140625" style="14" customWidth="1"/>
    <col min="267" max="267" width="11.42578125" style="14"/>
    <col min="268" max="268" width="30.28515625" style="14" customWidth="1"/>
    <col min="269" max="513" width="11.42578125" style="14"/>
    <col min="514" max="514" width="7.28515625" style="14" customWidth="1"/>
    <col min="515" max="515" width="37.7109375" style="14" customWidth="1"/>
    <col min="516" max="516" width="17.85546875" style="14" customWidth="1"/>
    <col min="517" max="517" width="12.28515625" style="14" bestFit="1" customWidth="1"/>
    <col min="518" max="518" width="11.42578125" style="14"/>
    <col min="519" max="519" width="24.140625" style="14" customWidth="1"/>
    <col min="520" max="521" width="11.42578125" style="14"/>
    <col min="522" max="522" width="17.140625" style="14" customWidth="1"/>
    <col min="523" max="523" width="11.42578125" style="14"/>
    <col min="524" max="524" width="30.28515625" style="14" customWidth="1"/>
    <col min="525" max="769" width="11.42578125" style="14"/>
    <col min="770" max="770" width="7.28515625" style="14" customWidth="1"/>
    <col min="771" max="771" width="37.7109375" style="14" customWidth="1"/>
    <col min="772" max="772" width="17.85546875" style="14" customWidth="1"/>
    <col min="773" max="773" width="12.28515625" style="14" bestFit="1" customWidth="1"/>
    <col min="774" max="774" width="11.42578125" style="14"/>
    <col min="775" max="775" width="24.140625" style="14" customWidth="1"/>
    <col min="776" max="777" width="11.42578125" style="14"/>
    <col min="778" max="778" width="17.140625" style="14" customWidth="1"/>
    <col min="779" max="779" width="11.42578125" style="14"/>
    <col min="780" max="780" width="30.28515625" style="14" customWidth="1"/>
    <col min="781" max="1025" width="11.42578125" style="14"/>
    <col min="1026" max="1026" width="7.28515625" style="14" customWidth="1"/>
    <col min="1027" max="1027" width="37.7109375" style="14" customWidth="1"/>
    <col min="1028" max="1028" width="17.85546875" style="14" customWidth="1"/>
    <col min="1029" max="1029" width="12.28515625" style="14" bestFit="1" customWidth="1"/>
    <col min="1030" max="1030" width="11.42578125" style="14"/>
    <col min="1031" max="1031" width="24.140625" style="14" customWidth="1"/>
    <col min="1032" max="1033" width="11.42578125" style="14"/>
    <col min="1034" max="1034" width="17.140625" style="14" customWidth="1"/>
    <col min="1035" max="1035" width="11.42578125" style="14"/>
    <col min="1036" max="1036" width="30.28515625" style="14" customWidth="1"/>
    <col min="1037" max="1281" width="11.42578125" style="14"/>
    <col min="1282" max="1282" width="7.28515625" style="14" customWidth="1"/>
    <col min="1283" max="1283" width="37.7109375" style="14" customWidth="1"/>
    <col min="1284" max="1284" width="17.85546875" style="14" customWidth="1"/>
    <col min="1285" max="1285" width="12.28515625" style="14" bestFit="1" customWidth="1"/>
    <col min="1286" max="1286" width="11.42578125" style="14"/>
    <col min="1287" max="1287" width="24.140625" style="14" customWidth="1"/>
    <col min="1288" max="1289" width="11.42578125" style="14"/>
    <col min="1290" max="1290" width="17.140625" style="14" customWidth="1"/>
    <col min="1291" max="1291" width="11.42578125" style="14"/>
    <col min="1292" max="1292" width="30.28515625" style="14" customWidth="1"/>
    <col min="1293" max="1537" width="11.42578125" style="14"/>
    <col min="1538" max="1538" width="7.28515625" style="14" customWidth="1"/>
    <col min="1539" max="1539" width="37.7109375" style="14" customWidth="1"/>
    <col min="1540" max="1540" width="17.85546875" style="14" customWidth="1"/>
    <col min="1541" max="1541" width="12.28515625" style="14" bestFit="1" customWidth="1"/>
    <col min="1542" max="1542" width="11.42578125" style="14"/>
    <col min="1543" max="1543" width="24.140625" style="14" customWidth="1"/>
    <col min="1544" max="1545" width="11.42578125" style="14"/>
    <col min="1546" max="1546" width="17.140625" style="14" customWidth="1"/>
    <col min="1547" max="1547" width="11.42578125" style="14"/>
    <col min="1548" max="1548" width="30.28515625" style="14" customWidth="1"/>
    <col min="1549" max="1793" width="11.42578125" style="14"/>
    <col min="1794" max="1794" width="7.28515625" style="14" customWidth="1"/>
    <col min="1795" max="1795" width="37.7109375" style="14" customWidth="1"/>
    <col min="1796" max="1796" width="17.85546875" style="14" customWidth="1"/>
    <col min="1797" max="1797" width="12.28515625" style="14" bestFit="1" customWidth="1"/>
    <col min="1798" max="1798" width="11.42578125" style="14"/>
    <col min="1799" max="1799" width="24.140625" style="14" customWidth="1"/>
    <col min="1800" max="1801" width="11.42578125" style="14"/>
    <col min="1802" max="1802" width="17.140625" style="14" customWidth="1"/>
    <col min="1803" max="1803" width="11.42578125" style="14"/>
    <col min="1804" max="1804" width="30.28515625" style="14" customWidth="1"/>
    <col min="1805" max="2049" width="11.42578125" style="14"/>
    <col min="2050" max="2050" width="7.28515625" style="14" customWidth="1"/>
    <col min="2051" max="2051" width="37.7109375" style="14" customWidth="1"/>
    <col min="2052" max="2052" width="17.85546875" style="14" customWidth="1"/>
    <col min="2053" max="2053" width="12.28515625" style="14" bestFit="1" customWidth="1"/>
    <col min="2054" max="2054" width="11.42578125" style="14"/>
    <col min="2055" max="2055" width="24.140625" style="14" customWidth="1"/>
    <col min="2056" max="2057" width="11.42578125" style="14"/>
    <col min="2058" max="2058" width="17.140625" style="14" customWidth="1"/>
    <col min="2059" max="2059" width="11.42578125" style="14"/>
    <col min="2060" max="2060" width="30.28515625" style="14" customWidth="1"/>
    <col min="2061" max="2305" width="11.42578125" style="14"/>
    <col min="2306" max="2306" width="7.28515625" style="14" customWidth="1"/>
    <col min="2307" max="2307" width="37.7109375" style="14" customWidth="1"/>
    <col min="2308" max="2308" width="17.85546875" style="14" customWidth="1"/>
    <col min="2309" max="2309" width="12.28515625" style="14" bestFit="1" customWidth="1"/>
    <col min="2310" max="2310" width="11.42578125" style="14"/>
    <col min="2311" max="2311" width="24.140625" style="14" customWidth="1"/>
    <col min="2312" max="2313" width="11.42578125" style="14"/>
    <col min="2314" max="2314" width="17.140625" style="14" customWidth="1"/>
    <col min="2315" max="2315" width="11.42578125" style="14"/>
    <col min="2316" max="2316" width="30.28515625" style="14" customWidth="1"/>
    <col min="2317" max="2561" width="11.42578125" style="14"/>
    <col min="2562" max="2562" width="7.28515625" style="14" customWidth="1"/>
    <col min="2563" max="2563" width="37.7109375" style="14" customWidth="1"/>
    <col min="2564" max="2564" width="17.85546875" style="14" customWidth="1"/>
    <col min="2565" max="2565" width="12.28515625" style="14" bestFit="1" customWidth="1"/>
    <col min="2566" max="2566" width="11.42578125" style="14"/>
    <col min="2567" max="2567" width="24.140625" style="14" customWidth="1"/>
    <col min="2568" max="2569" width="11.42578125" style="14"/>
    <col min="2570" max="2570" width="17.140625" style="14" customWidth="1"/>
    <col min="2571" max="2571" width="11.42578125" style="14"/>
    <col min="2572" max="2572" width="30.28515625" style="14" customWidth="1"/>
    <col min="2573" max="2817" width="11.42578125" style="14"/>
    <col min="2818" max="2818" width="7.28515625" style="14" customWidth="1"/>
    <col min="2819" max="2819" width="37.7109375" style="14" customWidth="1"/>
    <col min="2820" max="2820" width="17.85546875" style="14" customWidth="1"/>
    <col min="2821" max="2821" width="12.28515625" style="14" bestFit="1" customWidth="1"/>
    <col min="2822" max="2822" width="11.42578125" style="14"/>
    <col min="2823" max="2823" width="24.140625" style="14" customWidth="1"/>
    <col min="2824" max="2825" width="11.42578125" style="14"/>
    <col min="2826" max="2826" width="17.140625" style="14" customWidth="1"/>
    <col min="2827" max="2827" width="11.42578125" style="14"/>
    <col min="2828" max="2828" width="30.28515625" style="14" customWidth="1"/>
    <col min="2829" max="3073" width="11.42578125" style="14"/>
    <col min="3074" max="3074" width="7.28515625" style="14" customWidth="1"/>
    <col min="3075" max="3075" width="37.7109375" style="14" customWidth="1"/>
    <col min="3076" max="3076" width="17.85546875" style="14" customWidth="1"/>
    <col min="3077" max="3077" width="12.28515625" style="14" bestFit="1" customWidth="1"/>
    <col min="3078" max="3078" width="11.42578125" style="14"/>
    <col min="3079" max="3079" width="24.140625" style="14" customWidth="1"/>
    <col min="3080" max="3081" width="11.42578125" style="14"/>
    <col min="3082" max="3082" width="17.140625" style="14" customWidth="1"/>
    <col min="3083" max="3083" width="11.42578125" style="14"/>
    <col min="3084" max="3084" width="30.28515625" style="14" customWidth="1"/>
    <col min="3085" max="3329" width="11.42578125" style="14"/>
    <col min="3330" max="3330" width="7.28515625" style="14" customWidth="1"/>
    <col min="3331" max="3331" width="37.7109375" style="14" customWidth="1"/>
    <col min="3332" max="3332" width="17.85546875" style="14" customWidth="1"/>
    <col min="3333" max="3333" width="12.28515625" style="14" bestFit="1" customWidth="1"/>
    <col min="3334" max="3334" width="11.42578125" style="14"/>
    <col min="3335" max="3335" width="24.140625" style="14" customWidth="1"/>
    <col min="3336" max="3337" width="11.42578125" style="14"/>
    <col min="3338" max="3338" width="17.140625" style="14" customWidth="1"/>
    <col min="3339" max="3339" width="11.42578125" style="14"/>
    <col min="3340" max="3340" width="30.28515625" style="14" customWidth="1"/>
    <col min="3341" max="3585" width="11.42578125" style="14"/>
    <col min="3586" max="3586" width="7.28515625" style="14" customWidth="1"/>
    <col min="3587" max="3587" width="37.7109375" style="14" customWidth="1"/>
    <col min="3588" max="3588" width="17.85546875" style="14" customWidth="1"/>
    <col min="3589" max="3589" width="12.28515625" style="14" bestFit="1" customWidth="1"/>
    <col min="3590" max="3590" width="11.42578125" style="14"/>
    <col min="3591" max="3591" width="24.140625" style="14" customWidth="1"/>
    <col min="3592" max="3593" width="11.42578125" style="14"/>
    <col min="3594" max="3594" width="17.140625" style="14" customWidth="1"/>
    <col min="3595" max="3595" width="11.42578125" style="14"/>
    <col min="3596" max="3596" width="30.28515625" style="14" customWidth="1"/>
    <col min="3597" max="3841" width="11.42578125" style="14"/>
    <col min="3842" max="3842" width="7.28515625" style="14" customWidth="1"/>
    <col min="3843" max="3843" width="37.7109375" style="14" customWidth="1"/>
    <col min="3844" max="3844" width="17.85546875" style="14" customWidth="1"/>
    <col min="3845" max="3845" width="12.28515625" style="14" bestFit="1" customWidth="1"/>
    <col min="3846" max="3846" width="11.42578125" style="14"/>
    <col min="3847" max="3847" width="24.140625" style="14" customWidth="1"/>
    <col min="3848" max="3849" width="11.42578125" style="14"/>
    <col min="3850" max="3850" width="17.140625" style="14" customWidth="1"/>
    <col min="3851" max="3851" width="11.42578125" style="14"/>
    <col min="3852" max="3852" width="30.28515625" style="14" customWidth="1"/>
    <col min="3853" max="4097" width="11.42578125" style="14"/>
    <col min="4098" max="4098" width="7.28515625" style="14" customWidth="1"/>
    <col min="4099" max="4099" width="37.7109375" style="14" customWidth="1"/>
    <col min="4100" max="4100" width="17.85546875" style="14" customWidth="1"/>
    <col min="4101" max="4101" width="12.28515625" style="14" bestFit="1" customWidth="1"/>
    <col min="4102" max="4102" width="11.42578125" style="14"/>
    <col min="4103" max="4103" width="24.140625" style="14" customWidth="1"/>
    <col min="4104" max="4105" width="11.42578125" style="14"/>
    <col min="4106" max="4106" width="17.140625" style="14" customWidth="1"/>
    <col min="4107" max="4107" width="11.42578125" style="14"/>
    <col min="4108" max="4108" width="30.28515625" style="14" customWidth="1"/>
    <col min="4109" max="4353" width="11.42578125" style="14"/>
    <col min="4354" max="4354" width="7.28515625" style="14" customWidth="1"/>
    <col min="4355" max="4355" width="37.7109375" style="14" customWidth="1"/>
    <col min="4356" max="4356" width="17.85546875" style="14" customWidth="1"/>
    <col min="4357" max="4357" width="12.28515625" style="14" bestFit="1" customWidth="1"/>
    <col min="4358" max="4358" width="11.42578125" style="14"/>
    <col min="4359" max="4359" width="24.140625" style="14" customWidth="1"/>
    <col min="4360" max="4361" width="11.42578125" style="14"/>
    <col min="4362" max="4362" width="17.140625" style="14" customWidth="1"/>
    <col min="4363" max="4363" width="11.42578125" style="14"/>
    <col min="4364" max="4364" width="30.28515625" style="14" customWidth="1"/>
    <col min="4365" max="4609" width="11.42578125" style="14"/>
    <col min="4610" max="4610" width="7.28515625" style="14" customWidth="1"/>
    <col min="4611" max="4611" width="37.7109375" style="14" customWidth="1"/>
    <col min="4612" max="4612" width="17.85546875" style="14" customWidth="1"/>
    <col min="4613" max="4613" width="12.28515625" style="14" bestFit="1" customWidth="1"/>
    <col min="4614" max="4614" width="11.42578125" style="14"/>
    <col min="4615" max="4615" width="24.140625" style="14" customWidth="1"/>
    <col min="4616" max="4617" width="11.42578125" style="14"/>
    <col min="4618" max="4618" width="17.140625" style="14" customWidth="1"/>
    <col min="4619" max="4619" width="11.42578125" style="14"/>
    <col min="4620" max="4620" width="30.28515625" style="14" customWidth="1"/>
    <col min="4621" max="4865" width="11.42578125" style="14"/>
    <col min="4866" max="4866" width="7.28515625" style="14" customWidth="1"/>
    <col min="4867" max="4867" width="37.7109375" style="14" customWidth="1"/>
    <col min="4868" max="4868" width="17.85546875" style="14" customWidth="1"/>
    <col min="4869" max="4869" width="12.28515625" style="14" bestFit="1" customWidth="1"/>
    <col min="4870" max="4870" width="11.42578125" style="14"/>
    <col min="4871" max="4871" width="24.140625" style="14" customWidth="1"/>
    <col min="4872" max="4873" width="11.42578125" style="14"/>
    <col min="4874" max="4874" width="17.140625" style="14" customWidth="1"/>
    <col min="4875" max="4875" width="11.42578125" style="14"/>
    <col min="4876" max="4876" width="30.28515625" style="14" customWidth="1"/>
    <col min="4877" max="5121" width="11.42578125" style="14"/>
    <col min="5122" max="5122" width="7.28515625" style="14" customWidth="1"/>
    <col min="5123" max="5123" width="37.7109375" style="14" customWidth="1"/>
    <col min="5124" max="5124" width="17.85546875" style="14" customWidth="1"/>
    <col min="5125" max="5125" width="12.28515625" style="14" bestFit="1" customWidth="1"/>
    <col min="5126" max="5126" width="11.42578125" style="14"/>
    <col min="5127" max="5127" width="24.140625" style="14" customWidth="1"/>
    <col min="5128" max="5129" width="11.42578125" style="14"/>
    <col min="5130" max="5130" width="17.140625" style="14" customWidth="1"/>
    <col min="5131" max="5131" width="11.42578125" style="14"/>
    <col min="5132" max="5132" width="30.28515625" style="14" customWidth="1"/>
    <col min="5133" max="5377" width="11.42578125" style="14"/>
    <col min="5378" max="5378" width="7.28515625" style="14" customWidth="1"/>
    <col min="5379" max="5379" width="37.7109375" style="14" customWidth="1"/>
    <col min="5380" max="5380" width="17.85546875" style="14" customWidth="1"/>
    <col min="5381" max="5381" width="12.28515625" style="14" bestFit="1" customWidth="1"/>
    <col min="5382" max="5382" width="11.42578125" style="14"/>
    <col min="5383" max="5383" width="24.140625" style="14" customWidth="1"/>
    <col min="5384" max="5385" width="11.42578125" style="14"/>
    <col min="5386" max="5386" width="17.140625" style="14" customWidth="1"/>
    <col min="5387" max="5387" width="11.42578125" style="14"/>
    <col min="5388" max="5388" width="30.28515625" style="14" customWidth="1"/>
    <col min="5389" max="5633" width="11.42578125" style="14"/>
    <col min="5634" max="5634" width="7.28515625" style="14" customWidth="1"/>
    <col min="5635" max="5635" width="37.7109375" style="14" customWidth="1"/>
    <col min="5636" max="5636" width="17.85546875" style="14" customWidth="1"/>
    <col min="5637" max="5637" width="12.28515625" style="14" bestFit="1" customWidth="1"/>
    <col min="5638" max="5638" width="11.42578125" style="14"/>
    <col min="5639" max="5639" width="24.140625" style="14" customWidth="1"/>
    <col min="5640" max="5641" width="11.42578125" style="14"/>
    <col min="5642" max="5642" width="17.140625" style="14" customWidth="1"/>
    <col min="5643" max="5643" width="11.42578125" style="14"/>
    <col min="5644" max="5644" width="30.28515625" style="14" customWidth="1"/>
    <col min="5645" max="5889" width="11.42578125" style="14"/>
    <col min="5890" max="5890" width="7.28515625" style="14" customWidth="1"/>
    <col min="5891" max="5891" width="37.7109375" style="14" customWidth="1"/>
    <col min="5892" max="5892" width="17.85546875" style="14" customWidth="1"/>
    <col min="5893" max="5893" width="12.28515625" style="14" bestFit="1" customWidth="1"/>
    <col min="5894" max="5894" width="11.42578125" style="14"/>
    <col min="5895" max="5895" width="24.140625" style="14" customWidth="1"/>
    <col min="5896" max="5897" width="11.42578125" style="14"/>
    <col min="5898" max="5898" width="17.140625" style="14" customWidth="1"/>
    <col min="5899" max="5899" width="11.42578125" style="14"/>
    <col min="5900" max="5900" width="30.28515625" style="14" customWidth="1"/>
    <col min="5901" max="6145" width="11.42578125" style="14"/>
    <col min="6146" max="6146" width="7.28515625" style="14" customWidth="1"/>
    <col min="6147" max="6147" width="37.7109375" style="14" customWidth="1"/>
    <col min="6148" max="6148" width="17.85546875" style="14" customWidth="1"/>
    <col min="6149" max="6149" width="12.28515625" style="14" bestFit="1" customWidth="1"/>
    <col min="6150" max="6150" width="11.42578125" style="14"/>
    <col min="6151" max="6151" width="24.140625" style="14" customWidth="1"/>
    <col min="6152" max="6153" width="11.42578125" style="14"/>
    <col min="6154" max="6154" width="17.140625" style="14" customWidth="1"/>
    <col min="6155" max="6155" width="11.42578125" style="14"/>
    <col min="6156" max="6156" width="30.28515625" style="14" customWidth="1"/>
    <col min="6157" max="6401" width="11.42578125" style="14"/>
    <col min="6402" max="6402" width="7.28515625" style="14" customWidth="1"/>
    <col min="6403" max="6403" width="37.7109375" style="14" customWidth="1"/>
    <col min="6404" max="6404" width="17.85546875" style="14" customWidth="1"/>
    <col min="6405" max="6405" width="12.28515625" style="14" bestFit="1" customWidth="1"/>
    <col min="6406" max="6406" width="11.42578125" style="14"/>
    <col min="6407" max="6407" width="24.140625" style="14" customWidth="1"/>
    <col min="6408" max="6409" width="11.42578125" style="14"/>
    <col min="6410" max="6410" width="17.140625" style="14" customWidth="1"/>
    <col min="6411" max="6411" width="11.42578125" style="14"/>
    <col min="6412" max="6412" width="30.28515625" style="14" customWidth="1"/>
    <col min="6413" max="6657" width="11.42578125" style="14"/>
    <col min="6658" max="6658" width="7.28515625" style="14" customWidth="1"/>
    <col min="6659" max="6659" width="37.7109375" style="14" customWidth="1"/>
    <col min="6660" max="6660" width="17.85546875" style="14" customWidth="1"/>
    <col min="6661" max="6661" width="12.28515625" style="14" bestFit="1" customWidth="1"/>
    <col min="6662" max="6662" width="11.42578125" style="14"/>
    <col min="6663" max="6663" width="24.140625" style="14" customWidth="1"/>
    <col min="6664" max="6665" width="11.42578125" style="14"/>
    <col min="6666" max="6666" width="17.140625" style="14" customWidth="1"/>
    <col min="6667" max="6667" width="11.42578125" style="14"/>
    <col min="6668" max="6668" width="30.28515625" style="14" customWidth="1"/>
    <col min="6669" max="6913" width="11.42578125" style="14"/>
    <col min="6914" max="6914" width="7.28515625" style="14" customWidth="1"/>
    <col min="6915" max="6915" width="37.7109375" style="14" customWidth="1"/>
    <col min="6916" max="6916" width="17.85546875" style="14" customWidth="1"/>
    <col min="6917" max="6917" width="12.28515625" style="14" bestFit="1" customWidth="1"/>
    <col min="6918" max="6918" width="11.42578125" style="14"/>
    <col min="6919" max="6919" width="24.140625" style="14" customWidth="1"/>
    <col min="6920" max="6921" width="11.42578125" style="14"/>
    <col min="6922" max="6922" width="17.140625" style="14" customWidth="1"/>
    <col min="6923" max="6923" width="11.42578125" style="14"/>
    <col min="6924" max="6924" width="30.28515625" style="14" customWidth="1"/>
    <col min="6925" max="7169" width="11.42578125" style="14"/>
    <col min="7170" max="7170" width="7.28515625" style="14" customWidth="1"/>
    <col min="7171" max="7171" width="37.7109375" style="14" customWidth="1"/>
    <col min="7172" max="7172" width="17.85546875" style="14" customWidth="1"/>
    <col min="7173" max="7173" width="12.28515625" style="14" bestFit="1" customWidth="1"/>
    <col min="7174" max="7174" width="11.42578125" style="14"/>
    <col min="7175" max="7175" width="24.140625" style="14" customWidth="1"/>
    <col min="7176" max="7177" width="11.42578125" style="14"/>
    <col min="7178" max="7178" width="17.140625" style="14" customWidth="1"/>
    <col min="7179" max="7179" width="11.42578125" style="14"/>
    <col min="7180" max="7180" width="30.28515625" style="14" customWidth="1"/>
    <col min="7181" max="7425" width="11.42578125" style="14"/>
    <col min="7426" max="7426" width="7.28515625" style="14" customWidth="1"/>
    <col min="7427" max="7427" width="37.7109375" style="14" customWidth="1"/>
    <col min="7428" max="7428" width="17.85546875" style="14" customWidth="1"/>
    <col min="7429" max="7429" width="12.28515625" style="14" bestFit="1" customWidth="1"/>
    <col min="7430" max="7430" width="11.42578125" style="14"/>
    <col min="7431" max="7431" width="24.140625" style="14" customWidth="1"/>
    <col min="7432" max="7433" width="11.42578125" style="14"/>
    <col min="7434" max="7434" width="17.140625" style="14" customWidth="1"/>
    <col min="7435" max="7435" width="11.42578125" style="14"/>
    <col min="7436" max="7436" width="30.28515625" style="14" customWidth="1"/>
    <col min="7437" max="7681" width="11.42578125" style="14"/>
    <col min="7682" max="7682" width="7.28515625" style="14" customWidth="1"/>
    <col min="7683" max="7683" width="37.7109375" style="14" customWidth="1"/>
    <col min="7684" max="7684" width="17.85546875" style="14" customWidth="1"/>
    <col min="7685" max="7685" width="12.28515625" style="14" bestFit="1" customWidth="1"/>
    <col min="7686" max="7686" width="11.42578125" style="14"/>
    <col min="7687" max="7687" width="24.140625" style="14" customWidth="1"/>
    <col min="7688" max="7689" width="11.42578125" style="14"/>
    <col min="7690" max="7690" width="17.140625" style="14" customWidth="1"/>
    <col min="7691" max="7691" width="11.42578125" style="14"/>
    <col min="7692" max="7692" width="30.28515625" style="14" customWidth="1"/>
    <col min="7693" max="7937" width="11.42578125" style="14"/>
    <col min="7938" max="7938" width="7.28515625" style="14" customWidth="1"/>
    <col min="7939" max="7939" width="37.7109375" style="14" customWidth="1"/>
    <col min="7940" max="7940" width="17.85546875" style="14" customWidth="1"/>
    <col min="7941" max="7941" width="12.28515625" style="14" bestFit="1" customWidth="1"/>
    <col min="7942" max="7942" width="11.42578125" style="14"/>
    <col min="7943" max="7943" width="24.140625" style="14" customWidth="1"/>
    <col min="7944" max="7945" width="11.42578125" style="14"/>
    <col min="7946" max="7946" width="17.140625" style="14" customWidth="1"/>
    <col min="7947" max="7947" width="11.42578125" style="14"/>
    <col min="7948" max="7948" width="30.28515625" style="14" customWidth="1"/>
    <col min="7949" max="8193" width="11.42578125" style="14"/>
    <col min="8194" max="8194" width="7.28515625" style="14" customWidth="1"/>
    <col min="8195" max="8195" width="37.7109375" style="14" customWidth="1"/>
    <col min="8196" max="8196" width="17.85546875" style="14" customWidth="1"/>
    <col min="8197" max="8197" width="12.28515625" style="14" bestFit="1" customWidth="1"/>
    <col min="8198" max="8198" width="11.42578125" style="14"/>
    <col min="8199" max="8199" width="24.140625" style="14" customWidth="1"/>
    <col min="8200" max="8201" width="11.42578125" style="14"/>
    <col min="8202" max="8202" width="17.140625" style="14" customWidth="1"/>
    <col min="8203" max="8203" width="11.42578125" style="14"/>
    <col min="8204" max="8204" width="30.28515625" style="14" customWidth="1"/>
    <col min="8205" max="8449" width="11.42578125" style="14"/>
    <col min="8450" max="8450" width="7.28515625" style="14" customWidth="1"/>
    <col min="8451" max="8451" width="37.7109375" style="14" customWidth="1"/>
    <col min="8452" max="8452" width="17.85546875" style="14" customWidth="1"/>
    <col min="8453" max="8453" width="12.28515625" style="14" bestFit="1" customWidth="1"/>
    <col min="8454" max="8454" width="11.42578125" style="14"/>
    <col min="8455" max="8455" width="24.140625" style="14" customWidth="1"/>
    <col min="8456" max="8457" width="11.42578125" style="14"/>
    <col min="8458" max="8458" width="17.140625" style="14" customWidth="1"/>
    <col min="8459" max="8459" width="11.42578125" style="14"/>
    <col min="8460" max="8460" width="30.28515625" style="14" customWidth="1"/>
    <col min="8461" max="8705" width="11.42578125" style="14"/>
    <col min="8706" max="8706" width="7.28515625" style="14" customWidth="1"/>
    <col min="8707" max="8707" width="37.7109375" style="14" customWidth="1"/>
    <col min="8708" max="8708" width="17.85546875" style="14" customWidth="1"/>
    <col min="8709" max="8709" width="12.28515625" style="14" bestFit="1" customWidth="1"/>
    <col min="8710" max="8710" width="11.42578125" style="14"/>
    <col min="8711" max="8711" width="24.140625" style="14" customWidth="1"/>
    <col min="8712" max="8713" width="11.42578125" style="14"/>
    <col min="8714" max="8714" width="17.140625" style="14" customWidth="1"/>
    <col min="8715" max="8715" width="11.42578125" style="14"/>
    <col min="8716" max="8716" width="30.28515625" style="14" customWidth="1"/>
    <col min="8717" max="8961" width="11.42578125" style="14"/>
    <col min="8962" max="8962" width="7.28515625" style="14" customWidth="1"/>
    <col min="8963" max="8963" width="37.7109375" style="14" customWidth="1"/>
    <col min="8964" max="8964" width="17.85546875" style="14" customWidth="1"/>
    <col min="8965" max="8965" width="12.28515625" style="14" bestFit="1" customWidth="1"/>
    <col min="8966" max="8966" width="11.42578125" style="14"/>
    <col min="8967" max="8967" width="24.140625" style="14" customWidth="1"/>
    <col min="8968" max="8969" width="11.42578125" style="14"/>
    <col min="8970" max="8970" width="17.140625" style="14" customWidth="1"/>
    <col min="8971" max="8971" width="11.42578125" style="14"/>
    <col min="8972" max="8972" width="30.28515625" style="14" customWidth="1"/>
    <col min="8973" max="9217" width="11.42578125" style="14"/>
    <col min="9218" max="9218" width="7.28515625" style="14" customWidth="1"/>
    <col min="9219" max="9219" width="37.7109375" style="14" customWidth="1"/>
    <col min="9220" max="9220" width="17.85546875" style="14" customWidth="1"/>
    <col min="9221" max="9221" width="12.28515625" style="14" bestFit="1" customWidth="1"/>
    <col min="9222" max="9222" width="11.42578125" style="14"/>
    <col min="9223" max="9223" width="24.140625" style="14" customWidth="1"/>
    <col min="9224" max="9225" width="11.42578125" style="14"/>
    <col min="9226" max="9226" width="17.140625" style="14" customWidth="1"/>
    <col min="9227" max="9227" width="11.42578125" style="14"/>
    <col min="9228" max="9228" width="30.28515625" style="14" customWidth="1"/>
    <col min="9229" max="9473" width="11.42578125" style="14"/>
    <col min="9474" max="9474" width="7.28515625" style="14" customWidth="1"/>
    <col min="9475" max="9475" width="37.7109375" style="14" customWidth="1"/>
    <col min="9476" max="9476" width="17.85546875" style="14" customWidth="1"/>
    <col min="9477" max="9477" width="12.28515625" style="14" bestFit="1" customWidth="1"/>
    <col min="9478" max="9478" width="11.42578125" style="14"/>
    <col min="9479" max="9479" width="24.140625" style="14" customWidth="1"/>
    <col min="9480" max="9481" width="11.42578125" style="14"/>
    <col min="9482" max="9482" width="17.140625" style="14" customWidth="1"/>
    <col min="9483" max="9483" width="11.42578125" style="14"/>
    <col min="9484" max="9484" width="30.28515625" style="14" customWidth="1"/>
    <col min="9485" max="9729" width="11.42578125" style="14"/>
    <col min="9730" max="9730" width="7.28515625" style="14" customWidth="1"/>
    <col min="9731" max="9731" width="37.7109375" style="14" customWidth="1"/>
    <col min="9732" max="9732" width="17.85546875" style="14" customWidth="1"/>
    <col min="9733" max="9733" width="12.28515625" style="14" bestFit="1" customWidth="1"/>
    <col min="9734" max="9734" width="11.42578125" style="14"/>
    <col min="9735" max="9735" width="24.140625" style="14" customWidth="1"/>
    <col min="9736" max="9737" width="11.42578125" style="14"/>
    <col min="9738" max="9738" width="17.140625" style="14" customWidth="1"/>
    <col min="9739" max="9739" width="11.42578125" style="14"/>
    <col min="9740" max="9740" width="30.28515625" style="14" customWidth="1"/>
    <col min="9741" max="9985" width="11.42578125" style="14"/>
    <col min="9986" max="9986" width="7.28515625" style="14" customWidth="1"/>
    <col min="9987" max="9987" width="37.7109375" style="14" customWidth="1"/>
    <col min="9988" max="9988" width="17.85546875" style="14" customWidth="1"/>
    <col min="9989" max="9989" width="12.28515625" style="14" bestFit="1" customWidth="1"/>
    <col min="9990" max="9990" width="11.42578125" style="14"/>
    <col min="9991" max="9991" width="24.140625" style="14" customWidth="1"/>
    <col min="9992" max="9993" width="11.42578125" style="14"/>
    <col min="9994" max="9994" width="17.140625" style="14" customWidth="1"/>
    <col min="9995" max="9995" width="11.42578125" style="14"/>
    <col min="9996" max="9996" width="30.28515625" style="14" customWidth="1"/>
    <col min="9997" max="10241" width="11.42578125" style="14"/>
    <col min="10242" max="10242" width="7.28515625" style="14" customWidth="1"/>
    <col min="10243" max="10243" width="37.7109375" style="14" customWidth="1"/>
    <col min="10244" max="10244" width="17.85546875" style="14" customWidth="1"/>
    <col min="10245" max="10245" width="12.28515625" style="14" bestFit="1" customWidth="1"/>
    <col min="10246" max="10246" width="11.42578125" style="14"/>
    <col min="10247" max="10247" width="24.140625" style="14" customWidth="1"/>
    <col min="10248" max="10249" width="11.42578125" style="14"/>
    <col min="10250" max="10250" width="17.140625" style="14" customWidth="1"/>
    <col min="10251" max="10251" width="11.42578125" style="14"/>
    <col min="10252" max="10252" width="30.28515625" style="14" customWidth="1"/>
    <col min="10253" max="10497" width="11.42578125" style="14"/>
    <col min="10498" max="10498" width="7.28515625" style="14" customWidth="1"/>
    <col min="10499" max="10499" width="37.7109375" style="14" customWidth="1"/>
    <col min="10500" max="10500" width="17.85546875" style="14" customWidth="1"/>
    <col min="10501" max="10501" width="12.28515625" style="14" bestFit="1" customWidth="1"/>
    <col min="10502" max="10502" width="11.42578125" style="14"/>
    <col min="10503" max="10503" width="24.140625" style="14" customWidth="1"/>
    <col min="10504" max="10505" width="11.42578125" style="14"/>
    <col min="10506" max="10506" width="17.140625" style="14" customWidth="1"/>
    <col min="10507" max="10507" width="11.42578125" style="14"/>
    <col min="10508" max="10508" width="30.28515625" style="14" customWidth="1"/>
    <col min="10509" max="10753" width="11.42578125" style="14"/>
    <col min="10754" max="10754" width="7.28515625" style="14" customWidth="1"/>
    <col min="10755" max="10755" width="37.7109375" style="14" customWidth="1"/>
    <col min="10756" max="10756" width="17.85546875" style="14" customWidth="1"/>
    <col min="10757" max="10757" width="12.28515625" style="14" bestFit="1" customWidth="1"/>
    <col min="10758" max="10758" width="11.42578125" style="14"/>
    <col min="10759" max="10759" width="24.140625" style="14" customWidth="1"/>
    <col min="10760" max="10761" width="11.42578125" style="14"/>
    <col min="10762" max="10762" width="17.140625" style="14" customWidth="1"/>
    <col min="10763" max="10763" width="11.42578125" style="14"/>
    <col min="10764" max="10764" width="30.28515625" style="14" customWidth="1"/>
    <col min="10765" max="11009" width="11.42578125" style="14"/>
    <col min="11010" max="11010" width="7.28515625" style="14" customWidth="1"/>
    <col min="11011" max="11011" width="37.7109375" style="14" customWidth="1"/>
    <col min="11012" max="11012" width="17.85546875" style="14" customWidth="1"/>
    <col min="11013" max="11013" width="12.28515625" style="14" bestFit="1" customWidth="1"/>
    <col min="11014" max="11014" width="11.42578125" style="14"/>
    <col min="11015" max="11015" width="24.140625" style="14" customWidth="1"/>
    <col min="11016" max="11017" width="11.42578125" style="14"/>
    <col min="11018" max="11018" width="17.140625" style="14" customWidth="1"/>
    <col min="11019" max="11019" width="11.42578125" style="14"/>
    <col min="11020" max="11020" width="30.28515625" style="14" customWidth="1"/>
    <col min="11021" max="11265" width="11.42578125" style="14"/>
    <col min="11266" max="11266" width="7.28515625" style="14" customWidth="1"/>
    <col min="11267" max="11267" width="37.7109375" style="14" customWidth="1"/>
    <col min="11268" max="11268" width="17.85546875" style="14" customWidth="1"/>
    <col min="11269" max="11269" width="12.28515625" style="14" bestFit="1" customWidth="1"/>
    <col min="11270" max="11270" width="11.42578125" style="14"/>
    <col min="11271" max="11271" width="24.140625" style="14" customWidth="1"/>
    <col min="11272" max="11273" width="11.42578125" style="14"/>
    <col min="11274" max="11274" width="17.140625" style="14" customWidth="1"/>
    <col min="11275" max="11275" width="11.42578125" style="14"/>
    <col min="11276" max="11276" width="30.28515625" style="14" customWidth="1"/>
    <col min="11277" max="11521" width="11.42578125" style="14"/>
    <col min="11522" max="11522" width="7.28515625" style="14" customWidth="1"/>
    <col min="11523" max="11523" width="37.7109375" style="14" customWidth="1"/>
    <col min="11524" max="11524" width="17.85546875" style="14" customWidth="1"/>
    <col min="11525" max="11525" width="12.28515625" style="14" bestFit="1" customWidth="1"/>
    <col min="11526" max="11526" width="11.42578125" style="14"/>
    <col min="11527" max="11527" width="24.140625" style="14" customWidth="1"/>
    <col min="11528" max="11529" width="11.42578125" style="14"/>
    <col min="11530" max="11530" width="17.140625" style="14" customWidth="1"/>
    <col min="11531" max="11531" width="11.42578125" style="14"/>
    <col min="11532" max="11532" width="30.28515625" style="14" customWidth="1"/>
    <col min="11533" max="11777" width="11.42578125" style="14"/>
    <col min="11778" max="11778" width="7.28515625" style="14" customWidth="1"/>
    <col min="11779" max="11779" width="37.7109375" style="14" customWidth="1"/>
    <col min="11780" max="11780" width="17.85546875" style="14" customWidth="1"/>
    <col min="11781" max="11781" width="12.28515625" style="14" bestFit="1" customWidth="1"/>
    <col min="11782" max="11782" width="11.42578125" style="14"/>
    <col min="11783" max="11783" width="24.140625" style="14" customWidth="1"/>
    <col min="11784" max="11785" width="11.42578125" style="14"/>
    <col min="11786" max="11786" width="17.140625" style="14" customWidth="1"/>
    <col min="11787" max="11787" width="11.42578125" style="14"/>
    <col min="11788" max="11788" width="30.28515625" style="14" customWidth="1"/>
    <col min="11789" max="12033" width="11.42578125" style="14"/>
    <col min="12034" max="12034" width="7.28515625" style="14" customWidth="1"/>
    <col min="12035" max="12035" width="37.7109375" style="14" customWidth="1"/>
    <col min="12036" max="12036" width="17.85546875" style="14" customWidth="1"/>
    <col min="12037" max="12037" width="12.28515625" style="14" bestFit="1" customWidth="1"/>
    <col min="12038" max="12038" width="11.42578125" style="14"/>
    <col min="12039" max="12039" width="24.140625" style="14" customWidth="1"/>
    <col min="12040" max="12041" width="11.42578125" style="14"/>
    <col min="12042" max="12042" width="17.140625" style="14" customWidth="1"/>
    <col min="12043" max="12043" width="11.42578125" style="14"/>
    <col min="12044" max="12044" width="30.28515625" style="14" customWidth="1"/>
    <col min="12045" max="12289" width="11.42578125" style="14"/>
    <col min="12290" max="12290" width="7.28515625" style="14" customWidth="1"/>
    <col min="12291" max="12291" width="37.7109375" style="14" customWidth="1"/>
    <col min="12292" max="12292" width="17.85546875" style="14" customWidth="1"/>
    <col min="12293" max="12293" width="12.28515625" style="14" bestFit="1" customWidth="1"/>
    <col min="12294" max="12294" width="11.42578125" style="14"/>
    <col min="12295" max="12295" width="24.140625" style="14" customWidth="1"/>
    <col min="12296" max="12297" width="11.42578125" style="14"/>
    <col min="12298" max="12298" width="17.140625" style="14" customWidth="1"/>
    <col min="12299" max="12299" width="11.42578125" style="14"/>
    <col min="12300" max="12300" width="30.28515625" style="14" customWidth="1"/>
    <col min="12301" max="12545" width="11.42578125" style="14"/>
    <col min="12546" max="12546" width="7.28515625" style="14" customWidth="1"/>
    <col min="12547" max="12547" width="37.7109375" style="14" customWidth="1"/>
    <col min="12548" max="12548" width="17.85546875" style="14" customWidth="1"/>
    <col min="12549" max="12549" width="12.28515625" style="14" bestFit="1" customWidth="1"/>
    <col min="12550" max="12550" width="11.42578125" style="14"/>
    <col min="12551" max="12551" width="24.140625" style="14" customWidth="1"/>
    <col min="12552" max="12553" width="11.42578125" style="14"/>
    <col min="12554" max="12554" width="17.140625" style="14" customWidth="1"/>
    <col min="12555" max="12555" width="11.42578125" style="14"/>
    <col min="12556" max="12556" width="30.28515625" style="14" customWidth="1"/>
    <col min="12557" max="12801" width="11.42578125" style="14"/>
    <col min="12802" max="12802" width="7.28515625" style="14" customWidth="1"/>
    <col min="12803" max="12803" width="37.7109375" style="14" customWidth="1"/>
    <col min="12804" max="12804" width="17.85546875" style="14" customWidth="1"/>
    <col min="12805" max="12805" width="12.28515625" style="14" bestFit="1" customWidth="1"/>
    <col min="12806" max="12806" width="11.42578125" style="14"/>
    <col min="12807" max="12807" width="24.140625" style="14" customWidth="1"/>
    <col min="12808" max="12809" width="11.42578125" style="14"/>
    <col min="12810" max="12810" width="17.140625" style="14" customWidth="1"/>
    <col min="12811" max="12811" width="11.42578125" style="14"/>
    <col min="12812" max="12812" width="30.28515625" style="14" customWidth="1"/>
    <col min="12813" max="13057" width="11.42578125" style="14"/>
    <col min="13058" max="13058" width="7.28515625" style="14" customWidth="1"/>
    <col min="13059" max="13059" width="37.7109375" style="14" customWidth="1"/>
    <col min="13060" max="13060" width="17.85546875" style="14" customWidth="1"/>
    <col min="13061" max="13061" width="12.28515625" style="14" bestFit="1" customWidth="1"/>
    <col min="13062" max="13062" width="11.42578125" style="14"/>
    <col min="13063" max="13063" width="24.140625" style="14" customWidth="1"/>
    <col min="13064" max="13065" width="11.42578125" style="14"/>
    <col min="13066" max="13066" width="17.140625" style="14" customWidth="1"/>
    <col min="13067" max="13067" width="11.42578125" style="14"/>
    <col min="13068" max="13068" width="30.28515625" style="14" customWidth="1"/>
    <col min="13069" max="13313" width="11.42578125" style="14"/>
    <col min="13314" max="13314" width="7.28515625" style="14" customWidth="1"/>
    <col min="13315" max="13315" width="37.7109375" style="14" customWidth="1"/>
    <col min="13316" max="13316" width="17.85546875" style="14" customWidth="1"/>
    <col min="13317" max="13317" width="12.28515625" style="14" bestFit="1" customWidth="1"/>
    <col min="13318" max="13318" width="11.42578125" style="14"/>
    <col min="13319" max="13319" width="24.140625" style="14" customWidth="1"/>
    <col min="13320" max="13321" width="11.42578125" style="14"/>
    <col min="13322" max="13322" width="17.140625" style="14" customWidth="1"/>
    <col min="13323" max="13323" width="11.42578125" style="14"/>
    <col min="13324" max="13324" width="30.28515625" style="14" customWidth="1"/>
    <col min="13325" max="13569" width="11.42578125" style="14"/>
    <col min="13570" max="13570" width="7.28515625" style="14" customWidth="1"/>
    <col min="13571" max="13571" width="37.7109375" style="14" customWidth="1"/>
    <col min="13572" max="13572" width="17.85546875" style="14" customWidth="1"/>
    <col min="13573" max="13573" width="12.28515625" style="14" bestFit="1" customWidth="1"/>
    <col min="13574" max="13574" width="11.42578125" style="14"/>
    <col min="13575" max="13575" width="24.140625" style="14" customWidth="1"/>
    <col min="13576" max="13577" width="11.42578125" style="14"/>
    <col min="13578" max="13578" width="17.140625" style="14" customWidth="1"/>
    <col min="13579" max="13579" width="11.42578125" style="14"/>
    <col min="13580" max="13580" width="30.28515625" style="14" customWidth="1"/>
    <col min="13581" max="13825" width="11.42578125" style="14"/>
    <col min="13826" max="13826" width="7.28515625" style="14" customWidth="1"/>
    <col min="13827" max="13827" width="37.7109375" style="14" customWidth="1"/>
    <col min="13828" max="13828" width="17.85546875" style="14" customWidth="1"/>
    <col min="13829" max="13829" width="12.28515625" style="14" bestFit="1" customWidth="1"/>
    <col min="13830" max="13830" width="11.42578125" style="14"/>
    <col min="13831" max="13831" width="24.140625" style="14" customWidth="1"/>
    <col min="13832" max="13833" width="11.42578125" style="14"/>
    <col min="13834" max="13834" width="17.140625" style="14" customWidth="1"/>
    <col min="13835" max="13835" width="11.42578125" style="14"/>
    <col min="13836" max="13836" width="30.28515625" style="14" customWidth="1"/>
    <col min="13837" max="14081" width="11.42578125" style="14"/>
    <col min="14082" max="14082" width="7.28515625" style="14" customWidth="1"/>
    <col min="14083" max="14083" width="37.7109375" style="14" customWidth="1"/>
    <col min="14084" max="14084" width="17.85546875" style="14" customWidth="1"/>
    <col min="14085" max="14085" width="12.28515625" style="14" bestFit="1" customWidth="1"/>
    <col min="14086" max="14086" width="11.42578125" style="14"/>
    <col min="14087" max="14087" width="24.140625" style="14" customWidth="1"/>
    <col min="14088" max="14089" width="11.42578125" style="14"/>
    <col min="14090" max="14090" width="17.140625" style="14" customWidth="1"/>
    <col min="14091" max="14091" width="11.42578125" style="14"/>
    <col min="14092" max="14092" width="30.28515625" style="14" customWidth="1"/>
    <col min="14093" max="14337" width="11.42578125" style="14"/>
    <col min="14338" max="14338" width="7.28515625" style="14" customWidth="1"/>
    <col min="14339" max="14339" width="37.7109375" style="14" customWidth="1"/>
    <col min="14340" max="14340" width="17.85546875" style="14" customWidth="1"/>
    <col min="14341" max="14341" width="12.28515625" style="14" bestFit="1" customWidth="1"/>
    <col min="14342" max="14342" width="11.42578125" style="14"/>
    <col min="14343" max="14343" width="24.140625" style="14" customWidth="1"/>
    <col min="14344" max="14345" width="11.42578125" style="14"/>
    <col min="14346" max="14346" width="17.140625" style="14" customWidth="1"/>
    <col min="14347" max="14347" width="11.42578125" style="14"/>
    <col min="14348" max="14348" width="30.28515625" style="14" customWidth="1"/>
    <col min="14349" max="14593" width="11.42578125" style="14"/>
    <col min="14594" max="14594" width="7.28515625" style="14" customWidth="1"/>
    <col min="14595" max="14595" width="37.7109375" style="14" customWidth="1"/>
    <col min="14596" max="14596" width="17.85546875" style="14" customWidth="1"/>
    <col min="14597" max="14597" width="12.28515625" style="14" bestFit="1" customWidth="1"/>
    <col min="14598" max="14598" width="11.42578125" style="14"/>
    <col min="14599" max="14599" width="24.140625" style="14" customWidth="1"/>
    <col min="14600" max="14601" width="11.42578125" style="14"/>
    <col min="14602" max="14602" width="17.140625" style="14" customWidth="1"/>
    <col min="14603" max="14603" width="11.42578125" style="14"/>
    <col min="14604" max="14604" width="30.28515625" style="14" customWidth="1"/>
    <col min="14605" max="14849" width="11.42578125" style="14"/>
    <col min="14850" max="14850" width="7.28515625" style="14" customWidth="1"/>
    <col min="14851" max="14851" width="37.7109375" style="14" customWidth="1"/>
    <col min="14852" max="14852" width="17.85546875" style="14" customWidth="1"/>
    <col min="14853" max="14853" width="12.28515625" style="14" bestFit="1" customWidth="1"/>
    <col min="14854" max="14854" width="11.42578125" style="14"/>
    <col min="14855" max="14855" width="24.140625" style="14" customWidth="1"/>
    <col min="14856" max="14857" width="11.42578125" style="14"/>
    <col min="14858" max="14858" width="17.140625" style="14" customWidth="1"/>
    <col min="14859" max="14859" width="11.42578125" style="14"/>
    <col min="14860" max="14860" width="30.28515625" style="14" customWidth="1"/>
    <col min="14861" max="15105" width="11.42578125" style="14"/>
    <col min="15106" max="15106" width="7.28515625" style="14" customWidth="1"/>
    <col min="15107" max="15107" width="37.7109375" style="14" customWidth="1"/>
    <col min="15108" max="15108" width="17.85546875" style="14" customWidth="1"/>
    <col min="15109" max="15109" width="12.28515625" style="14" bestFit="1" customWidth="1"/>
    <col min="15110" max="15110" width="11.42578125" style="14"/>
    <col min="15111" max="15111" width="24.140625" style="14" customWidth="1"/>
    <col min="15112" max="15113" width="11.42578125" style="14"/>
    <col min="15114" max="15114" width="17.140625" style="14" customWidth="1"/>
    <col min="15115" max="15115" width="11.42578125" style="14"/>
    <col min="15116" max="15116" width="30.28515625" style="14" customWidth="1"/>
    <col min="15117" max="15361" width="11.42578125" style="14"/>
    <col min="15362" max="15362" width="7.28515625" style="14" customWidth="1"/>
    <col min="15363" max="15363" width="37.7109375" style="14" customWidth="1"/>
    <col min="15364" max="15364" width="17.85546875" style="14" customWidth="1"/>
    <col min="15365" max="15365" width="12.28515625" style="14" bestFit="1" customWidth="1"/>
    <col min="15366" max="15366" width="11.42578125" style="14"/>
    <col min="15367" max="15367" width="24.140625" style="14" customWidth="1"/>
    <col min="15368" max="15369" width="11.42578125" style="14"/>
    <col min="15370" max="15370" width="17.140625" style="14" customWidth="1"/>
    <col min="15371" max="15371" width="11.42578125" style="14"/>
    <col min="15372" max="15372" width="30.28515625" style="14" customWidth="1"/>
    <col min="15373" max="15617" width="11.42578125" style="14"/>
    <col min="15618" max="15618" width="7.28515625" style="14" customWidth="1"/>
    <col min="15619" max="15619" width="37.7109375" style="14" customWidth="1"/>
    <col min="15620" max="15620" width="17.85546875" style="14" customWidth="1"/>
    <col min="15621" max="15621" width="12.28515625" style="14" bestFit="1" customWidth="1"/>
    <col min="15622" max="15622" width="11.42578125" style="14"/>
    <col min="15623" max="15623" width="24.140625" style="14" customWidth="1"/>
    <col min="15624" max="15625" width="11.42578125" style="14"/>
    <col min="15626" max="15626" width="17.140625" style="14" customWidth="1"/>
    <col min="15627" max="15627" width="11.42578125" style="14"/>
    <col min="15628" max="15628" width="30.28515625" style="14" customWidth="1"/>
    <col min="15629" max="15873" width="11.42578125" style="14"/>
    <col min="15874" max="15874" width="7.28515625" style="14" customWidth="1"/>
    <col min="15875" max="15875" width="37.7109375" style="14" customWidth="1"/>
    <col min="15876" max="15876" width="17.85546875" style="14" customWidth="1"/>
    <col min="15877" max="15877" width="12.28515625" style="14" bestFit="1" customWidth="1"/>
    <col min="15878" max="15878" width="11.42578125" style="14"/>
    <col min="15879" max="15879" width="24.140625" style="14" customWidth="1"/>
    <col min="15880" max="15881" width="11.42578125" style="14"/>
    <col min="15882" max="15882" width="17.140625" style="14" customWidth="1"/>
    <col min="15883" max="15883" width="11.42578125" style="14"/>
    <col min="15884" max="15884" width="30.28515625" style="14" customWidth="1"/>
    <col min="15885" max="16129" width="11.42578125" style="14"/>
    <col min="16130" max="16130" width="7.28515625" style="14" customWidth="1"/>
    <col min="16131" max="16131" width="37.7109375" style="14" customWidth="1"/>
    <col min="16132" max="16132" width="17.85546875" style="14" customWidth="1"/>
    <col min="16133" max="16133" width="12.28515625" style="14" bestFit="1" customWidth="1"/>
    <col min="16134" max="16134" width="11.42578125" style="14"/>
    <col min="16135" max="16135" width="24.140625" style="14" customWidth="1"/>
    <col min="16136" max="16137" width="11.42578125" style="14"/>
    <col min="16138" max="16138" width="17.140625" style="14" customWidth="1"/>
    <col min="16139" max="16139" width="11.42578125" style="14"/>
    <col min="16140" max="16140" width="30.28515625" style="14" customWidth="1"/>
    <col min="16141" max="16384" width="11.42578125" style="14"/>
  </cols>
  <sheetData>
    <row r="1" spans="1:8" ht="15.75" x14ac:dyDescent="0.25">
      <c r="C1" s="154" t="s">
        <v>143</v>
      </c>
    </row>
    <row r="2" spans="1:8" x14ac:dyDescent="0.2">
      <c r="C2" s="684" t="s">
        <v>506</v>
      </c>
    </row>
    <row r="3" spans="1:8" x14ac:dyDescent="0.2">
      <c r="C3" s="685" t="s">
        <v>106</v>
      </c>
    </row>
    <row r="4" spans="1:8" x14ac:dyDescent="0.2">
      <c r="C4" s="686" t="s">
        <v>146</v>
      </c>
    </row>
    <row r="5" spans="1:8" x14ac:dyDescent="0.2">
      <c r="C5" s="687" t="s">
        <v>170</v>
      </c>
    </row>
    <row r="6" spans="1:8" x14ac:dyDescent="0.2">
      <c r="C6" s="688" t="s">
        <v>507</v>
      </c>
    </row>
    <row r="7" spans="1:8" x14ac:dyDescent="0.2">
      <c r="C7" s="689" t="s">
        <v>171</v>
      </c>
    </row>
    <row r="8" spans="1:8" x14ac:dyDescent="0.2">
      <c r="C8" s="690" t="s">
        <v>83</v>
      </c>
    </row>
    <row r="9" spans="1:8" x14ac:dyDescent="0.2">
      <c r="C9" s="691" t="s">
        <v>147</v>
      </c>
    </row>
    <row r="10" spans="1:8" x14ac:dyDescent="0.2">
      <c r="C10" s="692" t="s">
        <v>172</v>
      </c>
    </row>
    <row r="11" spans="1:8" ht="33" customHeight="1" x14ac:dyDescent="0.25">
      <c r="A11" s="630" t="s">
        <v>538</v>
      </c>
      <c r="B11" s="693" t="s">
        <v>148</v>
      </c>
      <c r="C11" s="26"/>
      <c r="D11" s="3"/>
      <c r="E11" s="3"/>
      <c r="F11" s="27"/>
      <c r="G11" s="597" t="s">
        <v>149</v>
      </c>
      <c r="H11" s="583" t="s">
        <v>150</v>
      </c>
    </row>
    <row r="12" spans="1:8" ht="15.75" x14ac:dyDescent="0.25">
      <c r="A12" s="694"/>
      <c r="B12" s="694"/>
      <c r="C12" s="789" t="s">
        <v>576</v>
      </c>
      <c r="D12" s="463"/>
      <c r="E12" s="681"/>
      <c r="F12" s="321"/>
      <c r="G12" s="315"/>
      <c r="H12" s="321"/>
    </row>
    <row r="13" spans="1:8" ht="15" x14ac:dyDescent="0.25">
      <c r="A13" s="695"/>
      <c r="B13" s="695"/>
      <c r="C13" s="683" t="s">
        <v>484</v>
      </c>
      <c r="D13" s="20"/>
      <c r="E13" s="70"/>
      <c r="F13" s="682"/>
      <c r="G13" s="453"/>
      <c r="H13" s="682"/>
    </row>
    <row r="14" spans="1:8" ht="15" x14ac:dyDescent="0.25">
      <c r="A14" s="707"/>
      <c r="B14" s="215" t="s">
        <v>547</v>
      </c>
      <c r="C14" s="94" t="s">
        <v>105</v>
      </c>
      <c r="D14" s="95"/>
      <c r="E14" s="96">
        <v>2</v>
      </c>
      <c r="F14" s="586" t="s">
        <v>1</v>
      </c>
      <c r="G14" s="588">
        <v>2</v>
      </c>
      <c r="H14" s="590">
        <f t="shared" ref="H14:H23" si="0">G14-E14</f>
        <v>0</v>
      </c>
    </row>
    <row r="15" spans="1:8" x14ac:dyDescent="0.2">
      <c r="A15" s="707"/>
      <c r="B15" s="333"/>
      <c r="C15" s="92"/>
      <c r="D15" s="57"/>
      <c r="E15" s="93">
        <f>86.4*E14</f>
        <v>172.8</v>
      </c>
      <c r="F15" s="57" t="s">
        <v>0</v>
      </c>
      <c r="G15" s="598">
        <f>86.4*G14</f>
        <v>172.8</v>
      </c>
      <c r="H15" s="590">
        <f t="shared" si="0"/>
        <v>0</v>
      </c>
    </row>
    <row r="16" spans="1:8" x14ac:dyDescent="0.2">
      <c r="A16" s="707"/>
      <c r="B16" s="333"/>
      <c r="C16" s="28" t="s">
        <v>90</v>
      </c>
      <c r="D16" s="55"/>
      <c r="E16" s="65">
        <f>E14/E49</f>
        <v>0.5</v>
      </c>
      <c r="F16" s="55" t="s">
        <v>1</v>
      </c>
      <c r="G16" s="588">
        <f>G14/G49</f>
        <v>0.5</v>
      </c>
      <c r="H16" s="590">
        <f t="shared" si="0"/>
        <v>0</v>
      </c>
    </row>
    <row r="17" spans="1:8" x14ac:dyDescent="0.2">
      <c r="A17" s="707"/>
      <c r="B17" s="696"/>
      <c r="C17" s="39" t="s">
        <v>104</v>
      </c>
      <c r="D17" s="58"/>
      <c r="E17" s="59">
        <v>60</v>
      </c>
      <c r="F17" s="479" t="s">
        <v>8</v>
      </c>
      <c r="G17" s="599">
        <v>60</v>
      </c>
      <c r="H17" s="590">
        <f t="shared" si="0"/>
        <v>0</v>
      </c>
    </row>
    <row r="18" spans="1:8" x14ac:dyDescent="0.2">
      <c r="A18" s="707"/>
      <c r="B18" s="696"/>
      <c r="C18" s="341" t="s">
        <v>243</v>
      </c>
      <c r="D18" s="342"/>
      <c r="E18" s="343">
        <f>0.001*E14*E17*86.4</f>
        <v>10.368</v>
      </c>
      <c r="F18" s="480" t="s">
        <v>244</v>
      </c>
      <c r="G18" s="600">
        <f>0.001*G14*G17*86.4</f>
        <v>10.368</v>
      </c>
      <c r="H18" s="590">
        <f t="shared" si="0"/>
        <v>0</v>
      </c>
    </row>
    <row r="19" spans="1:8" x14ac:dyDescent="0.2">
      <c r="A19" s="707"/>
      <c r="B19" s="696"/>
      <c r="C19" s="13" t="s">
        <v>58</v>
      </c>
      <c r="D19" s="51"/>
      <c r="E19" s="59">
        <v>18</v>
      </c>
      <c r="F19" s="479" t="s">
        <v>8</v>
      </c>
      <c r="G19" s="599">
        <v>18</v>
      </c>
      <c r="H19" s="590">
        <f t="shared" si="0"/>
        <v>0</v>
      </c>
    </row>
    <row r="20" spans="1:8" x14ac:dyDescent="0.2">
      <c r="A20" s="707"/>
      <c r="B20" s="696"/>
      <c r="C20" s="341" t="s">
        <v>245</v>
      </c>
      <c r="D20" s="342"/>
      <c r="E20" s="343">
        <f>0.001*E14*E19*86.4</f>
        <v>3.1104000000000007</v>
      </c>
      <c r="F20" s="480" t="s">
        <v>246</v>
      </c>
      <c r="G20" s="600">
        <f>0.001*G14*G19*86.4</f>
        <v>3.1104000000000007</v>
      </c>
      <c r="H20" s="590">
        <f t="shared" si="0"/>
        <v>0</v>
      </c>
    </row>
    <row r="21" spans="1:8" x14ac:dyDescent="0.2">
      <c r="A21" s="707"/>
      <c r="B21" s="696"/>
      <c r="C21" s="35" t="s">
        <v>57</v>
      </c>
      <c r="D21" s="540"/>
      <c r="E21" s="541">
        <v>1</v>
      </c>
      <c r="F21" s="36"/>
      <c r="G21" s="601">
        <v>1</v>
      </c>
      <c r="H21" s="590">
        <f t="shared" si="0"/>
        <v>0</v>
      </c>
    </row>
    <row r="22" spans="1:8" x14ac:dyDescent="0.2">
      <c r="A22" s="707"/>
      <c r="B22" s="696"/>
      <c r="C22" s="35" t="s">
        <v>40</v>
      </c>
      <c r="D22" s="540"/>
      <c r="E22" s="541">
        <f>(E19-E87)/E19</f>
        <v>1</v>
      </c>
      <c r="F22" s="36"/>
      <c r="G22" s="601">
        <f>(G19-G87)/G19</f>
        <v>1</v>
      </c>
      <c r="H22" s="590">
        <f t="shared" si="0"/>
        <v>0</v>
      </c>
    </row>
    <row r="23" spans="1:8" x14ac:dyDescent="0.2">
      <c r="A23" s="707"/>
      <c r="B23" s="696"/>
      <c r="C23" s="156" t="s">
        <v>103</v>
      </c>
      <c r="D23" s="259"/>
      <c r="E23" s="260">
        <f>E44+E102</f>
        <v>29.736000000000001</v>
      </c>
      <c r="F23" s="259" t="s">
        <v>4</v>
      </c>
      <c r="G23" s="589">
        <f>G44+G102</f>
        <v>29.736000000000001</v>
      </c>
      <c r="H23" s="590">
        <f t="shared" si="0"/>
        <v>0</v>
      </c>
    </row>
    <row r="24" spans="1:8" ht="15" x14ac:dyDescent="0.25">
      <c r="A24" s="707"/>
      <c r="B24" s="696"/>
      <c r="C24" s="61" t="s">
        <v>483</v>
      </c>
      <c r="D24" s="55"/>
      <c r="E24" s="56"/>
      <c r="F24" s="7"/>
      <c r="G24" s="643"/>
      <c r="H24" s="581"/>
    </row>
    <row r="25" spans="1:8" ht="15" x14ac:dyDescent="0.25">
      <c r="A25" s="707"/>
      <c r="B25" s="696"/>
      <c r="C25" s="35" t="s">
        <v>77</v>
      </c>
      <c r="D25" s="47"/>
      <c r="E25" s="74">
        <f>0.6+5*0.5</f>
        <v>3.1</v>
      </c>
      <c r="F25" s="481" t="s">
        <v>6</v>
      </c>
      <c r="G25" s="602">
        <f>0.6+5*0.5</f>
        <v>3.1</v>
      </c>
      <c r="H25" s="590">
        <f t="shared" ref="H25:H46" si="1">G25-E25</f>
        <v>0</v>
      </c>
    </row>
    <row r="26" spans="1:8" x14ac:dyDescent="0.2">
      <c r="A26" s="707"/>
      <c r="B26" s="696"/>
      <c r="C26" s="338" t="s">
        <v>110</v>
      </c>
      <c r="D26" s="339"/>
      <c r="E26" s="340">
        <v>2.8</v>
      </c>
      <c r="F26" s="482" t="s">
        <v>6</v>
      </c>
      <c r="G26" s="603">
        <v>2.8</v>
      </c>
      <c r="H26" s="590">
        <f t="shared" si="1"/>
        <v>0</v>
      </c>
    </row>
    <row r="27" spans="1:8" x14ac:dyDescent="0.2">
      <c r="A27" s="707"/>
      <c r="B27" s="696"/>
      <c r="C27" s="338" t="s">
        <v>64</v>
      </c>
      <c r="D27" s="339"/>
      <c r="E27" s="340">
        <v>9</v>
      </c>
      <c r="F27" s="482" t="s">
        <v>6</v>
      </c>
      <c r="G27" s="603">
        <v>9</v>
      </c>
      <c r="H27" s="590">
        <f t="shared" si="1"/>
        <v>0</v>
      </c>
    </row>
    <row r="28" spans="1:8" x14ac:dyDescent="0.2">
      <c r="A28" s="707"/>
      <c r="B28" s="696"/>
      <c r="C28" s="211" t="s">
        <v>112</v>
      </c>
      <c r="D28" s="336"/>
      <c r="E28" s="337">
        <f>E26*E27</f>
        <v>25.2</v>
      </c>
      <c r="F28" s="336" t="s">
        <v>5</v>
      </c>
      <c r="G28" s="588">
        <f>G26*G27</f>
        <v>25.2</v>
      </c>
      <c r="H28" s="590">
        <f t="shared" si="1"/>
        <v>0</v>
      </c>
    </row>
    <row r="29" spans="1:8" x14ac:dyDescent="0.2">
      <c r="A29" s="707"/>
      <c r="B29" s="696"/>
      <c r="C29" s="427" t="s">
        <v>113</v>
      </c>
      <c r="D29" s="336"/>
      <c r="E29" s="337">
        <f>86.4*E14/E28</f>
        <v>6.8571428571428577</v>
      </c>
      <c r="F29" s="336" t="s">
        <v>63</v>
      </c>
      <c r="G29" s="588">
        <f>86.4*G14/G28</f>
        <v>6.8571428571428577</v>
      </c>
      <c r="H29" s="590">
        <f t="shared" si="1"/>
        <v>0</v>
      </c>
    </row>
    <row r="30" spans="1:8" x14ac:dyDescent="0.2">
      <c r="A30" s="707"/>
      <c r="B30" s="696"/>
      <c r="C30" s="156" t="s">
        <v>122</v>
      </c>
      <c r="D30" s="259"/>
      <c r="E30" s="260">
        <f>E65/E28</f>
        <v>0.33333333333333337</v>
      </c>
      <c r="F30" s="259" t="s">
        <v>6</v>
      </c>
      <c r="G30" s="589">
        <f>G65/G28</f>
        <v>0.33333333333333337</v>
      </c>
      <c r="H30" s="590">
        <f t="shared" si="1"/>
        <v>0</v>
      </c>
    </row>
    <row r="31" spans="1:8" x14ac:dyDescent="0.2">
      <c r="A31" s="707"/>
      <c r="B31" s="696"/>
      <c r="C31" s="6" t="s">
        <v>7</v>
      </c>
      <c r="D31" s="54"/>
      <c r="E31" s="65">
        <v>0.15</v>
      </c>
      <c r="F31" s="55" t="s">
        <v>6</v>
      </c>
      <c r="G31" s="588">
        <v>0.15</v>
      </c>
      <c r="H31" s="590">
        <f t="shared" si="1"/>
        <v>0</v>
      </c>
    </row>
    <row r="32" spans="1:8" x14ac:dyDescent="0.2">
      <c r="A32" s="707"/>
      <c r="B32" s="696"/>
      <c r="C32" s="6" t="s">
        <v>114</v>
      </c>
      <c r="D32" s="54"/>
      <c r="E32" s="65">
        <f>E25-E31</f>
        <v>2.95</v>
      </c>
      <c r="F32" s="55" t="s">
        <v>6</v>
      </c>
      <c r="G32" s="588">
        <f>G25-G31</f>
        <v>2.95</v>
      </c>
      <c r="H32" s="590">
        <f t="shared" si="1"/>
        <v>0</v>
      </c>
    </row>
    <row r="33" spans="1:8" x14ac:dyDescent="0.2">
      <c r="A33" s="707"/>
      <c r="B33" s="696"/>
      <c r="C33" s="30" t="s">
        <v>118</v>
      </c>
      <c r="D33" s="81"/>
      <c r="E33" s="84">
        <v>0.2</v>
      </c>
      <c r="F33" s="483" t="s">
        <v>6</v>
      </c>
      <c r="G33" s="588">
        <v>0.2</v>
      </c>
      <c r="H33" s="590">
        <f t="shared" si="1"/>
        <v>0</v>
      </c>
    </row>
    <row r="34" spans="1:8" x14ac:dyDescent="0.2">
      <c r="A34" s="707"/>
      <c r="B34" s="696"/>
      <c r="C34" s="6" t="s">
        <v>123</v>
      </c>
      <c r="D34" s="54"/>
      <c r="E34" s="65">
        <v>0.3</v>
      </c>
      <c r="F34" s="55" t="s">
        <v>6</v>
      </c>
      <c r="G34" s="588">
        <v>0.3</v>
      </c>
      <c r="H34" s="590">
        <f t="shared" si="1"/>
        <v>0</v>
      </c>
    </row>
    <row r="35" spans="1:8" x14ac:dyDescent="0.2">
      <c r="A35" s="707"/>
      <c r="B35" s="696"/>
      <c r="C35" s="30" t="s">
        <v>115</v>
      </c>
      <c r="D35" s="81"/>
      <c r="E35" s="84">
        <f>E25-0.5*E30-E31-E33-E34</f>
        <v>2.2833333333333337</v>
      </c>
      <c r="F35" s="483" t="s">
        <v>6</v>
      </c>
      <c r="G35" s="588">
        <f>G25-0.5*G30-G31-G33-G34</f>
        <v>2.2833333333333337</v>
      </c>
      <c r="H35" s="590">
        <f t="shared" si="1"/>
        <v>0</v>
      </c>
    </row>
    <row r="36" spans="1:8" x14ac:dyDescent="0.2">
      <c r="A36" s="707"/>
      <c r="B36" s="696"/>
      <c r="C36" s="6" t="s">
        <v>116</v>
      </c>
      <c r="D36" s="54"/>
      <c r="E36" s="65">
        <f>2*E34*E28</f>
        <v>15.12</v>
      </c>
      <c r="F36" s="55" t="s">
        <v>4</v>
      </c>
      <c r="G36" s="588">
        <f>2*G34*G28</f>
        <v>15.12</v>
      </c>
      <c r="H36" s="590">
        <f t="shared" si="1"/>
        <v>0</v>
      </c>
    </row>
    <row r="37" spans="1:8" x14ac:dyDescent="0.2">
      <c r="A37" s="707"/>
      <c r="B37" s="696"/>
      <c r="C37" s="211" t="s">
        <v>117</v>
      </c>
      <c r="D37" s="555"/>
      <c r="E37" s="556">
        <f>E36/E15</f>
        <v>8.7499999999999994E-2</v>
      </c>
      <c r="F37" s="485"/>
      <c r="G37" s="604">
        <f>G36/G15</f>
        <v>8.7499999999999994E-2</v>
      </c>
      <c r="H37" s="590">
        <f t="shared" si="1"/>
        <v>0</v>
      </c>
    </row>
    <row r="38" spans="1:8" x14ac:dyDescent="0.2">
      <c r="A38" s="707"/>
      <c r="B38" s="696"/>
      <c r="C38" s="6" t="s">
        <v>121</v>
      </c>
      <c r="D38" s="55"/>
      <c r="E38" s="56">
        <f>E28*E35</f>
        <v>57.540000000000006</v>
      </c>
      <c r="F38" s="7" t="s">
        <v>4</v>
      </c>
      <c r="G38" s="588">
        <f>G28*G35</f>
        <v>57.540000000000006</v>
      </c>
      <c r="H38" s="590">
        <f t="shared" si="1"/>
        <v>0</v>
      </c>
    </row>
    <row r="39" spans="1:8" x14ac:dyDescent="0.2">
      <c r="A39" s="707"/>
      <c r="B39" s="697" t="s">
        <v>488</v>
      </c>
      <c r="C39" s="211" t="s">
        <v>495</v>
      </c>
      <c r="D39" s="439" t="str">
        <f>IF(E39&gt;5,"correcto","insuficiente")</f>
        <v>correcto</v>
      </c>
      <c r="E39" s="337">
        <f>E38/(0.001*E14*3600)</f>
        <v>7.9916666666666671</v>
      </c>
      <c r="F39" s="336" t="s">
        <v>10</v>
      </c>
      <c r="G39" s="588">
        <f>G38/(0.001*G14*3600)</f>
        <v>7.9916666666666671</v>
      </c>
      <c r="H39" s="590">
        <f t="shared" si="1"/>
        <v>0</v>
      </c>
    </row>
    <row r="40" spans="1:8" x14ac:dyDescent="0.2">
      <c r="A40" s="707"/>
      <c r="B40" s="697" t="s">
        <v>488</v>
      </c>
      <c r="C40" s="211" t="s">
        <v>489</v>
      </c>
      <c r="D40" s="439" t="str">
        <f>IF(E40&gt;4,"error","correcto")</f>
        <v>correcto</v>
      </c>
      <c r="E40" s="337">
        <f>E18/E28</f>
        <v>0.41142857142857148</v>
      </c>
      <c r="F40" s="485" t="s">
        <v>490</v>
      </c>
      <c r="G40" s="588">
        <f>G18/G28</f>
        <v>0.41142857142857148</v>
      </c>
      <c r="H40" s="590">
        <f t="shared" si="1"/>
        <v>0</v>
      </c>
    </row>
    <row r="41" spans="1:8" x14ac:dyDescent="0.2">
      <c r="A41" s="707"/>
      <c r="B41" s="697" t="s">
        <v>491</v>
      </c>
      <c r="C41" s="211" t="s">
        <v>492</v>
      </c>
      <c r="D41" s="439" t="str">
        <f>IF(E41&gt;16,"error","correcto")</f>
        <v>correcto</v>
      </c>
      <c r="E41" s="337">
        <f>3.6*E14/E28</f>
        <v>0.28571428571428575</v>
      </c>
      <c r="F41" s="485" t="s">
        <v>169</v>
      </c>
      <c r="G41" s="588">
        <f>3.6*G14/G28</f>
        <v>0.28571428571428575</v>
      </c>
      <c r="H41" s="590">
        <f t="shared" si="1"/>
        <v>0</v>
      </c>
    </row>
    <row r="42" spans="1:8" x14ac:dyDescent="0.2">
      <c r="A42" s="707"/>
      <c r="B42" s="697" t="s">
        <v>491</v>
      </c>
      <c r="C42" s="49" t="s">
        <v>493</v>
      </c>
      <c r="D42" s="561" t="s">
        <v>494</v>
      </c>
      <c r="E42" s="562">
        <v>0.8</v>
      </c>
      <c r="F42" s="17"/>
      <c r="G42" s="605">
        <v>0.8</v>
      </c>
      <c r="H42" s="590">
        <f t="shared" si="1"/>
        <v>0</v>
      </c>
    </row>
    <row r="43" spans="1:8" x14ac:dyDescent="0.2">
      <c r="A43" s="707"/>
      <c r="B43" s="696"/>
      <c r="C43" s="30" t="s">
        <v>119</v>
      </c>
      <c r="D43" s="81"/>
      <c r="E43" s="84">
        <v>0.8</v>
      </c>
      <c r="F43" s="483" t="s">
        <v>6</v>
      </c>
      <c r="G43" s="588">
        <v>0.8</v>
      </c>
      <c r="H43" s="590">
        <f t="shared" si="1"/>
        <v>0</v>
      </c>
    </row>
    <row r="44" spans="1:8" x14ac:dyDescent="0.2">
      <c r="A44" s="707"/>
      <c r="B44" s="696"/>
      <c r="C44" s="28" t="s">
        <v>120</v>
      </c>
      <c r="D44" s="54"/>
      <c r="E44" s="65">
        <f>E28*E43</f>
        <v>20.16</v>
      </c>
      <c r="F44" s="55" t="s">
        <v>4</v>
      </c>
      <c r="G44" s="588">
        <f>G28*G43</f>
        <v>20.16</v>
      </c>
      <c r="H44" s="590">
        <f t="shared" si="1"/>
        <v>0</v>
      </c>
    </row>
    <row r="45" spans="1:8" x14ac:dyDescent="0.2">
      <c r="A45" s="707"/>
      <c r="B45" s="696"/>
      <c r="C45" s="6" t="s">
        <v>451</v>
      </c>
      <c r="D45" s="65"/>
      <c r="E45" s="65">
        <f>E17*(1-E42)</f>
        <v>11.999999999999996</v>
      </c>
      <c r="F45" s="486" t="s">
        <v>8</v>
      </c>
      <c r="G45" s="588">
        <f>G17*(1-G42)</f>
        <v>11.999999999999996</v>
      </c>
      <c r="H45" s="590">
        <f t="shared" si="1"/>
        <v>0</v>
      </c>
    </row>
    <row r="46" spans="1:8" x14ac:dyDescent="0.2">
      <c r="A46" s="707"/>
      <c r="B46" s="696"/>
      <c r="C46" s="211" t="s">
        <v>247</v>
      </c>
      <c r="D46" s="212"/>
      <c r="E46" s="337">
        <f>(1-E42)*E18</f>
        <v>2.0735999999999994</v>
      </c>
      <c r="F46" s="336" t="s">
        <v>244</v>
      </c>
      <c r="G46" s="588">
        <f>(1-G42)*G18</f>
        <v>2.0735999999999994</v>
      </c>
      <c r="H46" s="590">
        <f t="shared" si="1"/>
        <v>0</v>
      </c>
    </row>
    <row r="47" spans="1:8" ht="15" x14ac:dyDescent="0.25">
      <c r="A47" s="707"/>
      <c r="B47" s="696"/>
      <c r="C47" s="34" t="s">
        <v>334</v>
      </c>
      <c r="D47" s="43"/>
      <c r="E47" s="71"/>
      <c r="F47" s="44"/>
      <c r="G47" s="643"/>
      <c r="H47" s="581"/>
    </row>
    <row r="48" spans="1:8" x14ac:dyDescent="0.2">
      <c r="A48" s="707"/>
      <c r="B48" s="698" t="s">
        <v>173</v>
      </c>
      <c r="C48" s="30" t="s">
        <v>461</v>
      </c>
      <c r="D48" s="507"/>
      <c r="E48" s="546">
        <v>1</v>
      </c>
      <c r="F48" s="507" t="s">
        <v>34</v>
      </c>
      <c r="G48" s="606">
        <v>1</v>
      </c>
      <c r="H48" s="590">
        <f t="shared" ref="H48:H62" si="2">G48-E48</f>
        <v>0</v>
      </c>
    </row>
    <row r="49" spans="1:8" ht="15" x14ac:dyDescent="0.25">
      <c r="A49" s="707"/>
      <c r="B49" s="698" t="s">
        <v>173</v>
      </c>
      <c r="C49" s="30" t="s">
        <v>462</v>
      </c>
      <c r="D49" s="31"/>
      <c r="E49" s="546">
        <v>4</v>
      </c>
      <c r="F49" s="507" t="s">
        <v>79</v>
      </c>
      <c r="G49" s="606">
        <v>4</v>
      </c>
      <c r="H49" s="590">
        <f t="shared" si="2"/>
        <v>0</v>
      </c>
    </row>
    <row r="50" spans="1:8" ht="15" x14ac:dyDescent="0.25">
      <c r="A50" s="707"/>
      <c r="B50" s="696"/>
      <c r="C50" s="30" t="s">
        <v>77</v>
      </c>
      <c r="D50" s="31"/>
      <c r="E50" s="72">
        <f>0.6+2*0.5</f>
        <v>1.6</v>
      </c>
      <c r="F50" s="507" t="s">
        <v>6</v>
      </c>
      <c r="G50" s="602">
        <f>0.6+2*0.5</f>
        <v>1.6</v>
      </c>
      <c r="H50" s="590">
        <f t="shared" si="2"/>
        <v>0</v>
      </c>
    </row>
    <row r="51" spans="1:8" x14ac:dyDescent="0.2">
      <c r="A51" s="707"/>
      <c r="B51" s="699" t="s">
        <v>459</v>
      </c>
      <c r="C51" s="197" t="s">
        <v>503</v>
      </c>
      <c r="D51" s="435"/>
      <c r="E51" s="563">
        <v>2.8</v>
      </c>
      <c r="F51" s="587" t="s">
        <v>6</v>
      </c>
      <c r="G51" s="588">
        <v>2.8</v>
      </c>
      <c r="H51" s="590">
        <f t="shared" si="2"/>
        <v>0</v>
      </c>
    </row>
    <row r="52" spans="1:8" x14ac:dyDescent="0.2">
      <c r="A52" s="707"/>
      <c r="B52" s="699" t="s">
        <v>459</v>
      </c>
      <c r="C52" s="197" t="s">
        <v>460</v>
      </c>
      <c r="D52" s="435"/>
      <c r="E52" s="563">
        <v>1.8</v>
      </c>
      <c r="F52" s="587" t="s">
        <v>6</v>
      </c>
      <c r="G52" s="588">
        <v>1.8</v>
      </c>
      <c r="H52" s="590">
        <f t="shared" si="2"/>
        <v>0</v>
      </c>
    </row>
    <row r="53" spans="1:8" x14ac:dyDescent="0.2">
      <c r="A53" s="707"/>
      <c r="B53" s="699" t="s">
        <v>404</v>
      </c>
      <c r="C53" s="30" t="s">
        <v>110</v>
      </c>
      <c r="D53" s="545" t="str">
        <f>IF(E53&gt;=E48*E51,"suficiente","insuficiente")</f>
        <v>suficiente</v>
      </c>
      <c r="E53" s="72">
        <f>E51</f>
        <v>2.8</v>
      </c>
      <c r="F53" s="507" t="s">
        <v>6</v>
      </c>
      <c r="G53" s="602">
        <f>G51</f>
        <v>2.8</v>
      </c>
      <c r="H53" s="590">
        <f t="shared" si="2"/>
        <v>0</v>
      </c>
    </row>
    <row r="54" spans="1:8" x14ac:dyDescent="0.2">
      <c r="A54" s="707"/>
      <c r="B54" s="699" t="s">
        <v>404</v>
      </c>
      <c r="C54" s="30" t="s">
        <v>64</v>
      </c>
      <c r="D54" s="545" t="str">
        <f>IF(E54&gt;=E49*E52,"suficiente","insuficiente")</f>
        <v>suficiente</v>
      </c>
      <c r="E54" s="72">
        <v>9</v>
      </c>
      <c r="F54" s="507" t="s">
        <v>6</v>
      </c>
      <c r="G54" s="602">
        <v>9</v>
      </c>
      <c r="H54" s="590">
        <f t="shared" si="2"/>
        <v>0</v>
      </c>
    </row>
    <row r="55" spans="1:8" x14ac:dyDescent="0.2">
      <c r="A55" s="707"/>
      <c r="B55" s="699"/>
      <c r="C55" s="156" t="s">
        <v>504</v>
      </c>
      <c r="D55" s="259"/>
      <c r="E55" s="260">
        <f>E54/E49</f>
        <v>2.25</v>
      </c>
      <c r="F55" s="259" t="s">
        <v>6</v>
      </c>
      <c r="G55" s="589">
        <f>G54/G49</f>
        <v>2.25</v>
      </c>
      <c r="H55" s="590">
        <f t="shared" si="2"/>
        <v>0</v>
      </c>
    </row>
    <row r="56" spans="1:8" x14ac:dyDescent="0.2">
      <c r="A56" s="707"/>
      <c r="B56" s="696"/>
      <c r="C56" s="211" t="s">
        <v>70</v>
      </c>
      <c r="D56" s="212"/>
      <c r="E56" s="337">
        <f>E54*E53</f>
        <v>25.2</v>
      </c>
      <c r="F56" s="336" t="s">
        <v>5</v>
      </c>
      <c r="G56" s="588">
        <f>G54*G53</f>
        <v>25.2</v>
      </c>
      <c r="H56" s="590">
        <f t="shared" si="2"/>
        <v>0</v>
      </c>
    </row>
    <row r="57" spans="1:8" ht="15" x14ac:dyDescent="0.25">
      <c r="A57" s="707"/>
      <c r="B57" s="699" t="s">
        <v>404</v>
      </c>
      <c r="C57" s="30" t="s">
        <v>7</v>
      </c>
      <c r="D57" s="31"/>
      <c r="E57" s="72">
        <v>0.2</v>
      </c>
      <c r="F57" s="507" t="s">
        <v>6</v>
      </c>
      <c r="G57" s="602">
        <v>0.2</v>
      </c>
      <c r="H57" s="590">
        <f t="shared" si="2"/>
        <v>0</v>
      </c>
    </row>
    <row r="58" spans="1:8" x14ac:dyDescent="0.2">
      <c r="A58" s="707"/>
      <c r="B58" s="696"/>
      <c r="C58" s="28" t="s">
        <v>37</v>
      </c>
      <c r="D58" s="7"/>
      <c r="E58" s="48">
        <f>E50-E57</f>
        <v>1.4000000000000001</v>
      </c>
      <c r="F58" s="55" t="s">
        <v>6</v>
      </c>
      <c r="G58" s="602">
        <f>G50-G57</f>
        <v>1.4000000000000001</v>
      </c>
      <c r="H58" s="590">
        <f t="shared" si="2"/>
        <v>0</v>
      </c>
    </row>
    <row r="59" spans="1:8" x14ac:dyDescent="0.2">
      <c r="A59" s="707"/>
      <c r="B59" s="696"/>
      <c r="C59" s="33" t="s">
        <v>73</v>
      </c>
      <c r="D59" s="7"/>
      <c r="E59" s="48">
        <f>E56*E58</f>
        <v>35.28</v>
      </c>
      <c r="F59" s="7" t="s">
        <v>4</v>
      </c>
      <c r="G59" s="602">
        <f>G56*G58</f>
        <v>35.28</v>
      </c>
      <c r="H59" s="590">
        <f t="shared" si="2"/>
        <v>0</v>
      </c>
    </row>
    <row r="60" spans="1:8" x14ac:dyDescent="0.2">
      <c r="A60" s="707"/>
      <c r="B60" s="696"/>
      <c r="C60" s="211" t="s">
        <v>38</v>
      </c>
      <c r="D60" s="329"/>
      <c r="E60" s="337">
        <f>E59/(0.001*E14*3600)</f>
        <v>4.9000000000000004</v>
      </c>
      <c r="F60" s="336" t="s">
        <v>10</v>
      </c>
      <c r="G60" s="588">
        <f>G59/(0.001*G14*3600)</f>
        <v>4.9000000000000004</v>
      </c>
      <c r="H60" s="590">
        <f t="shared" si="2"/>
        <v>0</v>
      </c>
    </row>
    <row r="61" spans="1:8" x14ac:dyDescent="0.2">
      <c r="A61" s="707"/>
      <c r="B61" s="697" t="s">
        <v>255</v>
      </c>
      <c r="C61" s="6" t="s">
        <v>175</v>
      </c>
      <c r="D61" s="54" t="s">
        <v>178</v>
      </c>
      <c r="E61" s="65">
        <f>Aireación!E39</f>
        <v>0.62118564659425202</v>
      </c>
      <c r="F61" s="55" t="s">
        <v>6</v>
      </c>
      <c r="G61" s="588">
        <f>Aireación!G39</f>
        <v>0.62118564659425202</v>
      </c>
      <c r="H61" s="590">
        <f t="shared" si="2"/>
        <v>0</v>
      </c>
    </row>
    <row r="62" spans="1:8" x14ac:dyDescent="0.2">
      <c r="A62" s="707"/>
      <c r="B62" s="333"/>
      <c r="C62" s="211" t="s">
        <v>307</v>
      </c>
      <c r="D62" s="212"/>
      <c r="E62" s="337">
        <f>E58-E61-E68</f>
        <v>0.42548102007241478</v>
      </c>
      <c r="F62" s="336" t="s">
        <v>6</v>
      </c>
      <c r="G62" s="588">
        <f>G58-G61-G68</f>
        <v>0.42548102007241478</v>
      </c>
      <c r="H62" s="590">
        <f t="shared" si="2"/>
        <v>0</v>
      </c>
    </row>
    <row r="63" spans="1:8" ht="15" x14ac:dyDescent="0.25">
      <c r="A63" s="707"/>
      <c r="B63" s="333"/>
      <c r="C63" s="335" t="s">
        <v>2</v>
      </c>
      <c r="D63" s="8"/>
      <c r="E63" s="73"/>
      <c r="F63" s="8"/>
      <c r="G63" s="643"/>
      <c r="H63" s="581"/>
    </row>
    <row r="64" spans="1:8" x14ac:dyDescent="0.2">
      <c r="A64" s="707"/>
      <c r="B64" s="698" t="s">
        <v>173</v>
      </c>
      <c r="C64" s="35" t="s">
        <v>167</v>
      </c>
      <c r="D64" s="412"/>
      <c r="E64" s="413">
        <v>70</v>
      </c>
      <c r="F64" s="36" t="s">
        <v>39</v>
      </c>
      <c r="G64" s="606">
        <v>70</v>
      </c>
      <c r="H64" s="590">
        <f>G64-E64</f>
        <v>0</v>
      </c>
    </row>
    <row r="65" spans="1:11" x14ac:dyDescent="0.2">
      <c r="A65" s="707"/>
      <c r="B65" s="698"/>
      <c r="C65" s="311" t="s">
        <v>321</v>
      </c>
      <c r="D65" s="312"/>
      <c r="E65" s="62">
        <f>60*E64*E14/1000</f>
        <v>8.4</v>
      </c>
      <c r="F65" s="484" t="s">
        <v>473</v>
      </c>
      <c r="G65" s="588">
        <f>60*G64*G14/1000</f>
        <v>8.4</v>
      </c>
      <c r="H65" s="590">
        <f>G65-E65</f>
        <v>0</v>
      </c>
    </row>
    <row r="66" spans="1:11" ht="15" x14ac:dyDescent="0.25">
      <c r="A66" s="707"/>
      <c r="B66" s="698" t="s">
        <v>571</v>
      </c>
      <c r="C66" s="28" t="s">
        <v>360</v>
      </c>
      <c r="D66" s="3"/>
      <c r="E66" s="48">
        <f>'Lecho de Secado'!E10</f>
        <v>0.504</v>
      </c>
      <c r="F66" s="491" t="s">
        <v>473</v>
      </c>
      <c r="G66" s="602">
        <f>'Lecho de Secado'!G10</f>
        <v>0.504</v>
      </c>
      <c r="H66" s="590">
        <f>G66-E66</f>
        <v>0</v>
      </c>
    </row>
    <row r="67" spans="1:11" x14ac:dyDescent="0.2">
      <c r="A67" s="707"/>
      <c r="B67" s="700"/>
      <c r="C67" s="427" t="s">
        <v>322</v>
      </c>
      <c r="D67" s="212"/>
      <c r="E67" s="337">
        <f>E65+E66</f>
        <v>8.9039999999999999</v>
      </c>
      <c r="F67" s="336" t="s">
        <v>4</v>
      </c>
      <c r="G67" s="588">
        <f>G65+G66</f>
        <v>8.9039999999999999</v>
      </c>
      <c r="H67" s="590">
        <f>G67-E67</f>
        <v>0</v>
      </c>
    </row>
    <row r="68" spans="1:11" x14ac:dyDescent="0.2">
      <c r="A68" s="707"/>
      <c r="B68" s="333"/>
      <c r="C68" s="156" t="s">
        <v>335</v>
      </c>
      <c r="D68" s="259"/>
      <c r="E68" s="260">
        <f>E67/E56</f>
        <v>0.35333333333333333</v>
      </c>
      <c r="F68" s="259" t="s">
        <v>6</v>
      </c>
      <c r="G68" s="589">
        <f>G67/G56</f>
        <v>0.35333333333333333</v>
      </c>
      <c r="H68" s="590">
        <f>G68-E68</f>
        <v>0</v>
      </c>
      <c r="I68" s="591"/>
    </row>
    <row r="69" spans="1:11" x14ac:dyDescent="0.2">
      <c r="A69" s="707"/>
      <c r="B69" s="701" t="s">
        <v>264</v>
      </c>
      <c r="C69" s="311" t="s">
        <v>168</v>
      </c>
      <c r="D69" s="312"/>
      <c r="E69" s="351" t="str">
        <f>Floculación!A4</f>
        <v>Sulfato de Aluminio</v>
      </c>
      <c r="F69" s="484"/>
      <c r="G69" s="666" t="str">
        <f>Floculación!A4</f>
        <v>Sulfato de Aluminio</v>
      </c>
      <c r="H69" s="590"/>
      <c r="I69" s="591"/>
    </row>
    <row r="70" spans="1:11" x14ac:dyDescent="0.2">
      <c r="A70" s="707"/>
      <c r="B70" s="426" t="s">
        <v>564</v>
      </c>
      <c r="C70" s="49" t="s">
        <v>563</v>
      </c>
      <c r="D70" s="344"/>
      <c r="E70" s="352">
        <f>VLOOKUP(E69,Floculación!A3:B4,2)</f>
        <v>40</v>
      </c>
      <c r="F70" s="17" t="s">
        <v>169</v>
      </c>
      <c r="G70" s="606">
        <f>VLOOKUP(G69,Floculación!A3:B4,2)</f>
        <v>40</v>
      </c>
      <c r="H70" s="590">
        <f>G70-E70</f>
        <v>0</v>
      </c>
      <c r="I70" s="591"/>
    </row>
    <row r="71" spans="1:11" x14ac:dyDescent="0.2">
      <c r="A71" s="707"/>
      <c r="B71" s="426" t="s">
        <v>255</v>
      </c>
      <c r="C71" s="211" t="s">
        <v>239</v>
      </c>
      <c r="D71" s="345">
        <f>E71/E64</f>
        <v>0.23760440659218182</v>
      </c>
      <c r="E71" s="337">
        <f>1000*E67/(Aireación!E55*60)</f>
        <v>16.632308461452727</v>
      </c>
      <c r="F71" s="485" t="s">
        <v>39</v>
      </c>
      <c r="G71" s="588">
        <f>1000*G67/(Aireación!G55*60)</f>
        <v>16.632308461452727</v>
      </c>
      <c r="H71" s="590">
        <f>G71-E71</f>
        <v>0</v>
      </c>
      <c r="I71" s="591"/>
    </row>
    <row r="72" spans="1:11" x14ac:dyDescent="0.2">
      <c r="A72" s="707"/>
      <c r="B72" s="426"/>
      <c r="C72" s="35" t="s">
        <v>480</v>
      </c>
      <c r="D72" s="412">
        <f>E72/E64</f>
        <v>0.4</v>
      </c>
      <c r="E72" s="413">
        <v>28</v>
      </c>
      <c r="F72" s="36" t="s">
        <v>39</v>
      </c>
      <c r="G72" s="606">
        <v>28</v>
      </c>
      <c r="H72" s="590">
        <f>G72-E72</f>
        <v>0</v>
      </c>
      <c r="I72" s="592"/>
      <c r="K72" s="593"/>
    </row>
    <row r="73" spans="1:11" x14ac:dyDescent="0.2">
      <c r="A73" s="707"/>
      <c r="B73" s="333"/>
      <c r="C73" s="6" t="s">
        <v>241</v>
      </c>
      <c r="D73" s="411">
        <f>E73/E64</f>
        <v>3.0000000000000009E-2</v>
      </c>
      <c r="E73" s="48">
        <f>E58*60/E70</f>
        <v>2.1000000000000005</v>
      </c>
      <c r="F73" s="7" t="s">
        <v>39</v>
      </c>
      <c r="G73" s="602">
        <f>G58*60/G70</f>
        <v>2.1000000000000005</v>
      </c>
      <c r="H73" s="590">
        <f>G73-E73</f>
        <v>0</v>
      </c>
      <c r="I73" s="592"/>
      <c r="K73" s="593"/>
    </row>
    <row r="74" spans="1:11" x14ac:dyDescent="0.2">
      <c r="A74" s="707"/>
      <c r="B74" s="333"/>
      <c r="C74" s="6" t="s">
        <v>444</v>
      </c>
      <c r="D74" s="411">
        <f>E74/E64</f>
        <v>0.33333333333333331</v>
      </c>
      <c r="E74" s="48">
        <f>E122</f>
        <v>23.333333333333332</v>
      </c>
      <c r="F74" s="7" t="s">
        <v>39</v>
      </c>
      <c r="G74" s="602">
        <f>G122</f>
        <v>23.333333333333332</v>
      </c>
      <c r="H74" s="590">
        <f>G74-E74</f>
        <v>0</v>
      </c>
      <c r="I74" s="591"/>
      <c r="J74" s="593"/>
    </row>
    <row r="75" spans="1:11" x14ac:dyDescent="0.2">
      <c r="A75" s="707"/>
      <c r="B75" s="426" t="s">
        <v>496</v>
      </c>
      <c r="C75" s="6" t="s">
        <v>479</v>
      </c>
      <c r="D75" s="411"/>
      <c r="E75" s="65" t="s">
        <v>303</v>
      </c>
      <c r="F75" s="7" t="s">
        <v>39</v>
      </c>
      <c r="G75" s="588" t="s">
        <v>303</v>
      </c>
      <c r="H75" s="590"/>
      <c r="I75" s="591"/>
      <c r="J75" s="593"/>
    </row>
    <row r="76" spans="1:11" x14ac:dyDescent="0.2">
      <c r="A76" s="707"/>
      <c r="B76" s="426"/>
      <c r="C76" s="427" t="s">
        <v>481</v>
      </c>
      <c r="D76" s="554" t="str">
        <f>IF(E76&lt;30,"insufiicente",IF(E76&lt;60,"adecuado","excesivo"))</f>
        <v>adecuado</v>
      </c>
      <c r="E76" s="313">
        <f>E72+E74</f>
        <v>51.333333333333329</v>
      </c>
      <c r="F76" s="485" t="s">
        <v>39</v>
      </c>
      <c r="G76" s="602">
        <f>G72+G74</f>
        <v>51.333333333333329</v>
      </c>
      <c r="H76" s="590">
        <f t="shared" ref="H76:H84" si="3">G76-E76</f>
        <v>0</v>
      </c>
      <c r="I76" s="591"/>
      <c r="J76" s="593"/>
    </row>
    <row r="77" spans="1:11" x14ac:dyDescent="0.2">
      <c r="A77" s="707"/>
      <c r="B77" s="333"/>
      <c r="C77" s="6" t="s">
        <v>240</v>
      </c>
      <c r="D77" s="551">
        <f>SUM(D71:D74)</f>
        <v>1.0009377399255153</v>
      </c>
      <c r="E77" s="48">
        <f>E71+E72+E74</f>
        <v>67.965641794786052</v>
      </c>
      <c r="F77" s="7" t="s">
        <v>39</v>
      </c>
      <c r="G77" s="602">
        <f>G71+G72+G74</f>
        <v>67.965641794786052</v>
      </c>
      <c r="H77" s="590">
        <f t="shared" si="3"/>
        <v>0</v>
      </c>
      <c r="I77" s="591"/>
      <c r="J77" s="593"/>
    </row>
    <row r="78" spans="1:11" x14ac:dyDescent="0.2">
      <c r="A78" s="707"/>
      <c r="B78" s="333"/>
      <c r="C78" s="28" t="s">
        <v>127</v>
      </c>
      <c r="D78" s="333" t="str">
        <f>IF(E78&lt;0,"falta tiempo en ciclo","suficiente")</f>
        <v>suficiente</v>
      </c>
      <c r="E78" s="65">
        <f>E64-E77</f>
        <v>2.0343582052139482</v>
      </c>
      <c r="F78" s="486" t="s">
        <v>39</v>
      </c>
      <c r="G78" s="588">
        <f>G64-G77</f>
        <v>2.0343582052139482</v>
      </c>
      <c r="H78" s="590">
        <f t="shared" si="3"/>
        <v>0</v>
      </c>
      <c r="I78" s="591"/>
      <c r="J78" s="593"/>
    </row>
    <row r="79" spans="1:11" x14ac:dyDescent="0.2">
      <c r="A79" s="707"/>
      <c r="B79" s="333"/>
      <c r="C79" s="211" t="s">
        <v>472</v>
      </c>
      <c r="D79" s="345"/>
      <c r="E79" s="313">
        <f>E74+E72</f>
        <v>51.333333333333329</v>
      </c>
      <c r="F79" s="485" t="s">
        <v>39</v>
      </c>
      <c r="G79" s="602">
        <f>G74+G72</f>
        <v>51.333333333333329</v>
      </c>
      <c r="H79" s="590">
        <f t="shared" si="3"/>
        <v>0</v>
      </c>
      <c r="I79" s="591"/>
      <c r="J79" s="593"/>
    </row>
    <row r="80" spans="1:11" x14ac:dyDescent="0.2">
      <c r="A80" s="707"/>
      <c r="C80" s="211" t="s">
        <v>71</v>
      </c>
      <c r="D80" s="329"/>
      <c r="E80" s="313">
        <f>(24*60/E77)</f>
        <v>21.187175784316199</v>
      </c>
      <c r="F80" s="485" t="s">
        <v>72</v>
      </c>
      <c r="G80" s="602">
        <f>(24*60/G77)</f>
        <v>21.187175784316199</v>
      </c>
      <c r="H80" s="590">
        <f t="shared" si="3"/>
        <v>0</v>
      </c>
      <c r="I80" s="591"/>
    </row>
    <row r="81" spans="1:9" x14ac:dyDescent="0.2">
      <c r="A81" s="707"/>
      <c r="B81" s="426" t="s">
        <v>255</v>
      </c>
      <c r="C81" s="156" t="s">
        <v>323</v>
      </c>
      <c r="D81" s="259"/>
      <c r="E81" s="260">
        <f>1000*E65/(60*E74)</f>
        <v>6</v>
      </c>
      <c r="F81" s="259" t="s">
        <v>1</v>
      </c>
      <c r="G81" s="589">
        <f>1000*G65/(60*G74)</f>
        <v>6</v>
      </c>
      <c r="H81" s="590">
        <f t="shared" si="3"/>
        <v>0</v>
      </c>
      <c r="I81" s="591"/>
    </row>
    <row r="82" spans="1:9" x14ac:dyDescent="0.2">
      <c r="A82" s="707"/>
      <c r="B82" s="426" t="s">
        <v>497</v>
      </c>
      <c r="C82" s="49" t="s">
        <v>470</v>
      </c>
      <c r="D82" s="344"/>
      <c r="E82" s="352">
        <v>70</v>
      </c>
      <c r="F82" s="17" t="s">
        <v>471</v>
      </c>
      <c r="G82" s="606">
        <v>70</v>
      </c>
      <c r="H82" s="590">
        <f t="shared" si="3"/>
        <v>0</v>
      </c>
      <c r="I82" s="591"/>
    </row>
    <row r="83" spans="1:9" x14ac:dyDescent="0.2">
      <c r="A83" s="707"/>
      <c r="B83" s="426" t="s">
        <v>255</v>
      </c>
      <c r="C83" s="28" t="s">
        <v>474</v>
      </c>
      <c r="D83" s="54"/>
      <c r="E83" s="77">
        <f>3.6*Aireación!F106*Aireación!E113</f>
        <v>1064.8338318121225</v>
      </c>
      <c r="F83" s="55" t="s">
        <v>325</v>
      </c>
      <c r="G83" s="607">
        <f>3.6*Aireación!G106*Aireación!G113</f>
        <v>1064.8338318121225</v>
      </c>
      <c r="H83" s="590">
        <f t="shared" si="3"/>
        <v>0</v>
      </c>
      <c r="I83" s="591"/>
    </row>
    <row r="84" spans="1:9" x14ac:dyDescent="0.2">
      <c r="A84" s="707"/>
      <c r="B84" s="426"/>
      <c r="C84" s="511" t="s">
        <v>113</v>
      </c>
      <c r="D84" s="439" t="str">
        <f>IF(E84&lt;E82,"cumple","no cumple")</f>
        <v>cumple</v>
      </c>
      <c r="E84" s="513">
        <f>E83/E56</f>
        <v>42.255310786195338</v>
      </c>
      <c r="F84" s="514" t="s">
        <v>325</v>
      </c>
      <c r="G84" s="608">
        <f>G83/G56</f>
        <v>42.255310786195338</v>
      </c>
      <c r="H84" s="590">
        <f t="shared" si="3"/>
        <v>0</v>
      </c>
      <c r="I84" s="591"/>
    </row>
    <row r="85" spans="1:9" ht="15" x14ac:dyDescent="0.25">
      <c r="A85" s="707"/>
      <c r="B85" s="333"/>
      <c r="C85" s="22" t="s">
        <v>228</v>
      </c>
      <c r="D85" s="7"/>
      <c r="E85" s="65"/>
      <c r="F85" s="55"/>
      <c r="G85" s="643"/>
      <c r="H85" s="581"/>
      <c r="I85" s="591"/>
    </row>
    <row r="86" spans="1:9" x14ac:dyDescent="0.2">
      <c r="A86" s="707"/>
      <c r="B86" s="426" t="s">
        <v>255</v>
      </c>
      <c r="C86" s="511" t="s">
        <v>142</v>
      </c>
      <c r="D86" s="512" t="s">
        <v>66</v>
      </c>
      <c r="E86" s="513">
        <f>Aireación!E13</f>
        <v>2</v>
      </c>
      <c r="F86" s="514" t="s">
        <v>8</v>
      </c>
      <c r="G86" s="608">
        <f>Aireación!G13</f>
        <v>2</v>
      </c>
      <c r="H86" s="590">
        <f t="shared" ref="H86:H97" si="4">G86-E86</f>
        <v>0</v>
      </c>
      <c r="I86" s="591"/>
    </row>
    <row r="87" spans="1:9" x14ac:dyDescent="0.2">
      <c r="A87" s="707"/>
      <c r="B87" s="333"/>
      <c r="C87" s="6" t="s">
        <v>59</v>
      </c>
      <c r="D87" s="7"/>
      <c r="E87" s="75">
        <v>0</v>
      </c>
      <c r="F87" s="487" t="s">
        <v>8</v>
      </c>
      <c r="G87" s="606">
        <v>0</v>
      </c>
      <c r="H87" s="590">
        <f t="shared" si="4"/>
        <v>0</v>
      </c>
      <c r="I87" s="591"/>
    </row>
    <row r="88" spans="1:9" x14ac:dyDescent="0.2">
      <c r="A88" s="707"/>
      <c r="B88" s="333"/>
      <c r="C88" s="28" t="s">
        <v>41</v>
      </c>
      <c r="D88" s="55"/>
      <c r="E88" s="65">
        <f>E19*E15/1000</f>
        <v>3.1104000000000003</v>
      </c>
      <c r="F88" s="253" t="s">
        <v>42</v>
      </c>
      <c r="G88" s="588">
        <f>G19*G15/1000</f>
        <v>3.1104000000000003</v>
      </c>
      <c r="H88" s="590">
        <f t="shared" si="4"/>
        <v>0</v>
      </c>
      <c r="I88" s="591"/>
    </row>
    <row r="89" spans="1:9" x14ac:dyDescent="0.2">
      <c r="A89" s="707"/>
      <c r="B89" s="333"/>
      <c r="C89" s="28" t="s">
        <v>43</v>
      </c>
      <c r="D89" s="55"/>
      <c r="E89" s="65">
        <f>E88*E22</f>
        <v>3.1104000000000003</v>
      </c>
      <c r="F89" s="253" t="s">
        <v>44</v>
      </c>
      <c r="G89" s="588">
        <f>G88*G22</f>
        <v>3.1104000000000003</v>
      </c>
      <c r="H89" s="590">
        <f t="shared" si="4"/>
        <v>0</v>
      </c>
      <c r="I89" s="591"/>
    </row>
    <row r="90" spans="1:9" x14ac:dyDescent="0.2">
      <c r="A90" s="707"/>
      <c r="B90" s="702" t="s">
        <v>546</v>
      </c>
      <c r="C90" s="49" t="s">
        <v>69</v>
      </c>
      <c r="D90" s="256" t="s">
        <v>535</v>
      </c>
      <c r="E90" s="50">
        <v>4.57</v>
      </c>
      <c r="F90" s="17" t="s">
        <v>482</v>
      </c>
      <c r="G90" s="602">
        <v>4.57</v>
      </c>
      <c r="H90" s="590">
        <f t="shared" si="4"/>
        <v>0</v>
      </c>
      <c r="I90" s="591"/>
    </row>
    <row r="91" spans="1:9" x14ac:dyDescent="0.2">
      <c r="A91" s="707"/>
      <c r="B91" s="702" t="s">
        <v>534</v>
      </c>
      <c r="C91" s="211" t="s">
        <v>229</v>
      </c>
      <c r="D91" s="329" t="s">
        <v>537</v>
      </c>
      <c r="E91" s="330">
        <f>E90*E19*E65</f>
        <v>690.98400000000004</v>
      </c>
      <c r="F91" s="485" t="s">
        <v>227</v>
      </c>
      <c r="G91" s="609">
        <f>G90*G19*G65</f>
        <v>690.98400000000004</v>
      </c>
      <c r="H91" s="590">
        <f t="shared" si="4"/>
        <v>0</v>
      </c>
      <c r="I91" s="591"/>
    </row>
    <row r="92" spans="1:9" x14ac:dyDescent="0.2">
      <c r="A92" s="707"/>
      <c r="B92" s="426" t="s">
        <v>255</v>
      </c>
      <c r="C92" s="6" t="s">
        <v>230</v>
      </c>
      <c r="D92" s="8"/>
      <c r="E92" s="60">
        <f>Aireación!E54*'Planta TPQA'!E71</f>
        <v>369.75632102222482</v>
      </c>
      <c r="F92" s="7" t="s">
        <v>227</v>
      </c>
      <c r="G92" s="609">
        <f>Aireación!G54*'Planta TPQA'!G71</f>
        <v>369.75632102222482</v>
      </c>
      <c r="H92" s="590">
        <f t="shared" si="4"/>
        <v>0</v>
      </c>
      <c r="I92" s="591"/>
    </row>
    <row r="93" spans="1:9" x14ac:dyDescent="0.2">
      <c r="A93" s="707"/>
      <c r="B93" s="426" t="s">
        <v>255</v>
      </c>
      <c r="C93" s="6" t="s">
        <v>231</v>
      </c>
      <c r="D93" s="8"/>
      <c r="E93" s="60">
        <f>Aireación!E98*'Planta TPQA'!E72</f>
        <v>387.0898212078414</v>
      </c>
      <c r="F93" s="7" t="s">
        <v>227</v>
      </c>
      <c r="G93" s="609">
        <f>Aireación!G98*'Planta TPQA'!G72</f>
        <v>387.0898212078414</v>
      </c>
      <c r="H93" s="590">
        <f t="shared" si="4"/>
        <v>0</v>
      </c>
      <c r="I93" s="591"/>
    </row>
    <row r="94" spans="1:9" x14ac:dyDescent="0.2">
      <c r="A94" s="707"/>
      <c r="B94" s="333"/>
      <c r="C94" s="211" t="s">
        <v>235</v>
      </c>
      <c r="D94" s="329" t="s">
        <v>249</v>
      </c>
      <c r="E94" s="330">
        <f>E92+E93</f>
        <v>756.84614223006622</v>
      </c>
      <c r="F94" s="485" t="s">
        <v>227</v>
      </c>
      <c r="G94" s="609">
        <f>G92+G93</f>
        <v>756.84614223006622</v>
      </c>
      <c r="H94" s="590">
        <f t="shared" si="4"/>
        <v>0</v>
      </c>
      <c r="I94" s="591"/>
    </row>
    <row r="95" spans="1:9" x14ac:dyDescent="0.2">
      <c r="A95" s="707"/>
      <c r="B95" s="333"/>
      <c r="C95" s="211" t="s">
        <v>232</v>
      </c>
      <c r="D95" s="467" t="str">
        <f>IF(E95&lt;0,"falta O2","")</f>
        <v/>
      </c>
      <c r="E95" s="330">
        <f>E94-E91</f>
        <v>65.862142230066183</v>
      </c>
      <c r="F95" s="485" t="s">
        <v>227</v>
      </c>
      <c r="G95" s="609">
        <f>G94-G91</f>
        <v>65.862142230066183</v>
      </c>
      <c r="H95" s="590">
        <f t="shared" si="4"/>
        <v>0</v>
      </c>
      <c r="I95" s="591"/>
    </row>
    <row r="96" spans="1:9" x14ac:dyDescent="0.2">
      <c r="A96" s="707"/>
      <c r="B96" s="426" t="s">
        <v>255</v>
      </c>
      <c r="C96" s="52" t="s">
        <v>271</v>
      </c>
      <c r="D96" s="334"/>
      <c r="E96" s="332">
        <f>Aireación!E103*Aireación!E102</f>
        <v>0.3080949957593434</v>
      </c>
      <c r="F96" s="488" t="s">
        <v>32</v>
      </c>
      <c r="G96" s="610">
        <f>Aireación!G103*Aireación!G102</f>
        <v>0.3080949957593434</v>
      </c>
      <c r="H96" s="590">
        <f t="shared" si="4"/>
        <v>0</v>
      </c>
      <c r="I96" s="591"/>
    </row>
    <row r="97" spans="1:10" x14ac:dyDescent="0.2">
      <c r="A97" s="707"/>
      <c r="B97" s="702" t="s">
        <v>266</v>
      </c>
      <c r="C97" s="353" t="s">
        <v>267</v>
      </c>
      <c r="D97" s="354" t="s">
        <v>268</v>
      </c>
      <c r="E97" s="355">
        <f>VLOOKUP(ROUND(Aireación!E30,0),'Agua-T°C'!B6:I46,3)</f>
        <v>8.9099999999999997E-4</v>
      </c>
      <c r="F97" s="489" t="s">
        <v>501</v>
      </c>
      <c r="G97" s="611">
        <f>VLOOKUP(ROUND(Aireación!G30,0),'Agua-T°C'!B6:I46,3)</f>
        <v>8.9099999999999997E-4</v>
      </c>
      <c r="H97" s="590">
        <f t="shared" si="4"/>
        <v>0</v>
      </c>
      <c r="I97" s="591"/>
    </row>
    <row r="98" spans="1:10" x14ac:dyDescent="0.2">
      <c r="A98" s="707"/>
      <c r="B98" s="426" t="s">
        <v>496</v>
      </c>
      <c r="C98" s="353" t="s">
        <v>269</v>
      </c>
      <c r="D98" s="354" t="s">
        <v>265</v>
      </c>
      <c r="E98" s="355" t="s">
        <v>272</v>
      </c>
      <c r="F98" s="489" t="s">
        <v>270</v>
      </c>
      <c r="G98" s="611" t="s">
        <v>272</v>
      </c>
      <c r="H98" s="590"/>
      <c r="I98" s="591"/>
    </row>
    <row r="99" spans="1:10" x14ac:dyDescent="0.2">
      <c r="A99" s="707"/>
      <c r="B99" s="702" t="s">
        <v>498</v>
      </c>
      <c r="C99" s="211" t="s">
        <v>485</v>
      </c>
      <c r="D99" s="467" t="str">
        <f>IF(E99&lt;50,"insuficiente",IF(E99&lt;100,"adecuado","excesivo"))</f>
        <v>adecuado</v>
      </c>
      <c r="E99" s="417">
        <f>(1000*E96/(E97*E59))^0.5</f>
        <v>99.000908937788495</v>
      </c>
      <c r="F99" s="490" t="s">
        <v>270</v>
      </c>
      <c r="G99" s="600">
        <f>(1000*G96/(G97*G59))^0.5</f>
        <v>99.000908937788495</v>
      </c>
      <c r="H99" s="590">
        <f>G99-E99</f>
        <v>0</v>
      </c>
      <c r="I99" s="591"/>
    </row>
    <row r="100" spans="1:10" ht="15" x14ac:dyDescent="0.25">
      <c r="A100" s="707"/>
      <c r="B100" s="333"/>
      <c r="C100" s="678" t="s">
        <v>250</v>
      </c>
      <c r="D100"/>
      <c r="E100" s="76"/>
      <c r="F100" s="15"/>
      <c r="G100" s="643"/>
      <c r="H100" s="581"/>
      <c r="I100" s="594"/>
      <c r="J100" s="68"/>
    </row>
    <row r="101" spans="1:10" ht="15" x14ac:dyDescent="0.25">
      <c r="A101" s="707"/>
      <c r="B101" s="700" t="s">
        <v>173</v>
      </c>
      <c r="C101" s="311" t="s">
        <v>97</v>
      </c>
      <c r="D101" s="47" t="s">
        <v>177</v>
      </c>
      <c r="E101" s="538">
        <v>0.38</v>
      </c>
      <c r="F101" s="539" t="s">
        <v>6</v>
      </c>
      <c r="G101" s="612">
        <v>0.38</v>
      </c>
      <c r="H101" s="590">
        <f t="shared" ref="H101:H112" si="5">G101-E101</f>
        <v>0</v>
      </c>
      <c r="I101" s="594"/>
      <c r="J101" s="68"/>
    </row>
    <row r="102" spans="1:10" ht="15" x14ac:dyDescent="0.25">
      <c r="A102" s="707"/>
      <c r="B102" s="333"/>
      <c r="C102" s="28" t="s">
        <v>103</v>
      </c>
      <c r="D102" s="3"/>
      <c r="E102" s="48">
        <f>E101*E56</f>
        <v>9.5760000000000005</v>
      </c>
      <c r="F102" s="491" t="s">
        <v>4</v>
      </c>
      <c r="G102" s="602">
        <f>G101*G56</f>
        <v>9.5760000000000005</v>
      </c>
      <c r="H102" s="590">
        <f t="shared" si="5"/>
        <v>0</v>
      </c>
      <c r="I102" s="594"/>
      <c r="J102" s="68"/>
    </row>
    <row r="103" spans="1:10" ht="15" x14ac:dyDescent="0.25">
      <c r="A103" s="707"/>
      <c r="B103" s="333"/>
      <c r="C103" s="49" t="s">
        <v>107</v>
      </c>
      <c r="D103" s="17"/>
      <c r="E103" s="732">
        <f>'[1]Datos Bioportadores PP'!$F$35</f>
        <v>605.47590018476353</v>
      </c>
      <c r="F103" s="17" t="s">
        <v>55</v>
      </c>
      <c r="G103" s="602">
        <f>'[1]Datos Bioportadores PP'!$F$35</f>
        <v>605.47590018476353</v>
      </c>
      <c r="H103" s="590">
        <f t="shared" si="5"/>
        <v>0</v>
      </c>
      <c r="I103" s="389"/>
      <c r="J103" s="67"/>
    </row>
    <row r="104" spans="1:10" ht="15" customHeight="1" x14ac:dyDescent="0.25">
      <c r="A104" s="707"/>
      <c r="B104" s="333"/>
      <c r="C104" s="28" t="s">
        <v>98</v>
      </c>
      <c r="D104" s="24"/>
      <c r="E104" s="77">
        <f>E102*E103</f>
        <v>5798.0372201692962</v>
      </c>
      <c r="F104" s="7" t="s">
        <v>5</v>
      </c>
      <c r="G104" s="607">
        <f>G102*G103</f>
        <v>5798.0372201692962</v>
      </c>
      <c r="H104" s="590">
        <f t="shared" si="5"/>
        <v>0</v>
      </c>
      <c r="I104" s="595"/>
      <c r="J104" s="596"/>
    </row>
    <row r="105" spans="1:10" ht="15" customHeight="1" x14ac:dyDescent="0.35">
      <c r="A105" s="707"/>
      <c r="B105" s="702" t="s">
        <v>253</v>
      </c>
      <c r="C105" s="346" t="s">
        <v>304</v>
      </c>
      <c r="D105" s="414"/>
      <c r="E105" s="415">
        <f>VLOOKUP(ROUND(E86,0),Nitrificacion!A4:C9,2)</f>
        <v>0.61</v>
      </c>
      <c r="F105" s="492" t="s">
        <v>305</v>
      </c>
      <c r="G105" s="613">
        <f>VLOOKUP(ROUND(G86,0),Nitrificacion!A4:C9,2)</f>
        <v>0.61</v>
      </c>
      <c r="H105" s="590">
        <f t="shared" si="5"/>
        <v>0</v>
      </c>
      <c r="I105" s="595"/>
      <c r="J105" s="596"/>
    </row>
    <row r="106" spans="1:10" ht="15" customHeight="1" x14ac:dyDescent="0.25">
      <c r="A106" s="707"/>
      <c r="B106" s="703"/>
      <c r="C106" s="416" t="s">
        <v>306</v>
      </c>
      <c r="D106" s="418" t="str">
        <f>IF(E106&lt;E105,"cumple","aumentar Hb")</f>
        <v>cumple</v>
      </c>
      <c r="E106" s="417">
        <f>1000*E20/E104</f>
        <v>0.53645740478864679</v>
      </c>
      <c r="F106" s="493" t="s">
        <v>305</v>
      </c>
      <c r="G106" s="600">
        <f>1000*G20/G104</f>
        <v>0.53645740478864679</v>
      </c>
      <c r="H106" s="590">
        <f t="shared" si="5"/>
        <v>0</v>
      </c>
      <c r="I106" s="595"/>
      <c r="J106" s="596"/>
    </row>
    <row r="107" spans="1:10" ht="15" customHeight="1" x14ac:dyDescent="0.25">
      <c r="A107" s="707"/>
      <c r="B107" s="702" t="s">
        <v>253</v>
      </c>
      <c r="C107" s="346" t="s">
        <v>248</v>
      </c>
      <c r="D107" s="347"/>
      <c r="E107" s="348">
        <f>VLOOKUP(ROUND(E86,0),Nitrificacion!A4:C9,3)</f>
        <v>1</v>
      </c>
      <c r="F107" s="492" t="s">
        <v>102</v>
      </c>
      <c r="G107" s="600">
        <f>VLOOKUP(ROUND(G86,0),Nitrificacion!A4:C9,3)</f>
        <v>1</v>
      </c>
      <c r="H107" s="590">
        <f t="shared" si="5"/>
        <v>0</v>
      </c>
      <c r="I107"/>
      <c r="J107"/>
    </row>
    <row r="108" spans="1:10" ht="15" customHeight="1" x14ac:dyDescent="0.25">
      <c r="A108" s="707"/>
      <c r="B108" s="333"/>
      <c r="C108" s="40" t="s">
        <v>254</v>
      </c>
      <c r="D108" s="97" t="str">
        <f>IF(E108&gt;E107,"no cumple","cumple")</f>
        <v>cumple</v>
      </c>
      <c r="E108" s="91">
        <f>1000*E46/E104</f>
        <v>0.35763826985909769</v>
      </c>
      <c r="F108" s="494" t="s">
        <v>102</v>
      </c>
      <c r="G108" s="614">
        <f>1000*G46/G104</f>
        <v>0.35763826985909769</v>
      </c>
      <c r="H108" s="590">
        <f t="shared" si="5"/>
        <v>0</v>
      </c>
      <c r="I108" s="1"/>
      <c r="J108"/>
    </row>
    <row r="109" spans="1:10" ht="15" x14ac:dyDescent="0.25">
      <c r="A109" s="707"/>
      <c r="B109" s="333"/>
      <c r="C109" s="40" t="s">
        <v>242</v>
      </c>
      <c r="D109" s="83"/>
      <c r="E109" s="91">
        <f>1000*E88/E104</f>
        <v>0.53645740478864667</v>
      </c>
      <c r="F109" s="494" t="s">
        <v>99</v>
      </c>
      <c r="G109" s="614">
        <f>1000*G88/G104</f>
        <v>0.53645740478864667</v>
      </c>
      <c r="H109" s="590">
        <f t="shared" si="5"/>
        <v>0</v>
      </c>
      <c r="I109" s="1"/>
      <c r="J109"/>
    </row>
    <row r="110" spans="1:10" ht="15" x14ac:dyDescent="0.25">
      <c r="A110" s="707"/>
      <c r="B110" s="702" t="s">
        <v>253</v>
      </c>
      <c r="C110" s="346" t="s">
        <v>108</v>
      </c>
      <c r="D110" s="347"/>
      <c r="E110" s="348">
        <f>VLOOKUP(ROUND(E86,0),Nitrificacion!A4:C9,2)</f>
        <v>0.61</v>
      </c>
      <c r="F110" s="492" t="s">
        <v>99</v>
      </c>
      <c r="G110" s="600">
        <f>VLOOKUP(ROUND(G86,0),Nitrificacion!A4:C9,2)</f>
        <v>0.61</v>
      </c>
      <c r="H110" s="590">
        <f t="shared" si="5"/>
        <v>0</v>
      </c>
      <c r="I110"/>
      <c r="J110" s="45"/>
    </row>
    <row r="111" spans="1:10" ht="15" x14ac:dyDescent="0.25">
      <c r="A111" s="707"/>
      <c r="B111" s="702"/>
      <c r="C111" s="40" t="s">
        <v>101</v>
      </c>
      <c r="D111" s="80"/>
      <c r="E111" s="78">
        <f>E89</f>
        <v>3.1104000000000003</v>
      </c>
      <c r="F111" s="495" t="s">
        <v>42</v>
      </c>
      <c r="G111" s="615">
        <f>G89</f>
        <v>3.1104000000000003</v>
      </c>
      <c r="H111" s="590">
        <f t="shared" si="5"/>
        <v>0</v>
      </c>
      <c r="I111"/>
      <c r="J111" s="45"/>
    </row>
    <row r="112" spans="1:10" ht="15" x14ac:dyDescent="0.25">
      <c r="A112" s="707"/>
      <c r="B112" s="333"/>
      <c r="C112" s="41" t="s">
        <v>100</v>
      </c>
      <c r="D112" s="349" t="str">
        <f>IF(D111&gt;E112,"insuficiente","remoción total de N")</f>
        <v>remoción total de N</v>
      </c>
      <c r="E112" s="90">
        <f>E110*E104/1000</f>
        <v>3.5368027043032706</v>
      </c>
      <c r="F112" s="496" t="s">
        <v>42</v>
      </c>
      <c r="G112" s="610">
        <f>G110*G104/1000</f>
        <v>3.5368027043032706</v>
      </c>
      <c r="H112" s="590">
        <f t="shared" si="5"/>
        <v>0</v>
      </c>
      <c r="I112"/>
      <c r="J112" s="45"/>
    </row>
    <row r="113" spans="1:10" ht="15" x14ac:dyDescent="0.25">
      <c r="A113" s="707"/>
      <c r="B113" s="704"/>
      <c r="C113" s="679" t="s">
        <v>320</v>
      </c>
      <c r="D113" s="55"/>
      <c r="E113" s="367"/>
      <c r="F113" s="253"/>
      <c r="G113" s="643"/>
      <c r="H113" s="581"/>
      <c r="I113"/>
      <c r="J113" s="45"/>
    </row>
    <row r="114" spans="1:10" ht="15" x14ac:dyDescent="0.25">
      <c r="A114" s="707"/>
      <c r="B114" s="701" t="s">
        <v>173</v>
      </c>
      <c r="C114" s="368" t="s">
        <v>279</v>
      </c>
      <c r="D114" s="369"/>
      <c r="E114" s="370">
        <v>1</v>
      </c>
      <c r="F114" s="497" t="s">
        <v>34</v>
      </c>
      <c r="G114" s="617">
        <v>1</v>
      </c>
      <c r="H114" s="590">
        <f t="shared" ref="H114:H122" si="6">G114-E114</f>
        <v>0</v>
      </c>
      <c r="I114"/>
      <c r="J114" s="45"/>
    </row>
    <row r="115" spans="1:10" ht="15" x14ac:dyDescent="0.25">
      <c r="A115" s="707"/>
      <c r="B115" s="705"/>
      <c r="C115" s="49" t="s">
        <v>280</v>
      </c>
      <c r="D115" s="46" t="s">
        <v>281</v>
      </c>
      <c r="E115" s="371">
        <v>3</v>
      </c>
      <c r="F115" s="498" t="s">
        <v>15</v>
      </c>
      <c r="G115" s="618">
        <v>3</v>
      </c>
      <c r="H115" s="590">
        <f t="shared" si="6"/>
        <v>0</v>
      </c>
      <c r="I115"/>
      <c r="J115" s="45"/>
    </row>
    <row r="116" spans="1:10" ht="15" x14ac:dyDescent="0.25">
      <c r="A116" s="707"/>
      <c r="B116" s="702" t="s">
        <v>282</v>
      </c>
      <c r="C116" s="49" t="s">
        <v>283</v>
      </c>
      <c r="D116" s="46"/>
      <c r="E116" s="372">
        <f>VLOOKUP(E115,'Valvula Flotador'!A3:B6,2)</f>
        <v>43</v>
      </c>
      <c r="F116" s="499" t="s">
        <v>47</v>
      </c>
      <c r="G116" s="619">
        <f>VLOOKUP(G115,'Valvula Flotador'!A3:B6,2)</f>
        <v>43</v>
      </c>
      <c r="H116" s="590">
        <f t="shared" si="6"/>
        <v>0</v>
      </c>
      <c r="I116"/>
      <c r="J116" s="45"/>
    </row>
    <row r="117" spans="1:10" ht="15" x14ac:dyDescent="0.25">
      <c r="A117" s="707"/>
      <c r="B117" s="702" t="s">
        <v>404</v>
      </c>
      <c r="C117" s="315" t="s">
        <v>476</v>
      </c>
      <c r="D117" s="431" t="s">
        <v>409</v>
      </c>
      <c r="E117" s="222">
        <v>1.8</v>
      </c>
      <c r="F117" s="464" t="s">
        <v>6</v>
      </c>
      <c r="G117" s="620">
        <v>1.8</v>
      </c>
      <c r="H117" s="590">
        <f t="shared" si="6"/>
        <v>0</v>
      </c>
      <c r="I117"/>
      <c r="J117" s="45"/>
    </row>
    <row r="118" spans="1:10" ht="15" x14ac:dyDescent="0.25">
      <c r="A118" s="707"/>
      <c r="B118" s="703" t="s">
        <v>410</v>
      </c>
      <c r="C118" s="315" t="s">
        <v>398</v>
      </c>
      <c r="D118" s="516" t="str">
        <f>IF(ABS(E118-E117)&gt;0.02,"ejecutar función objetivo","correcto ")</f>
        <v xml:space="preserve">correcto </v>
      </c>
      <c r="E118" s="88">
        <f>'Tuberías Varias'!E3</f>
        <v>1.7999308222971875</v>
      </c>
      <c r="F118" s="464" t="s">
        <v>6</v>
      </c>
      <c r="G118" s="620">
        <f>'Tuberías Varias'!G3</f>
        <v>1.7999308222971875</v>
      </c>
      <c r="H118" s="590">
        <f t="shared" si="6"/>
        <v>0</v>
      </c>
      <c r="I118"/>
      <c r="J118" s="45"/>
    </row>
    <row r="119" spans="1:10" ht="15" x14ac:dyDescent="0.25">
      <c r="A119" s="707"/>
      <c r="B119" s="706" t="s">
        <v>411</v>
      </c>
      <c r="C119" s="6" t="s">
        <v>412</v>
      </c>
      <c r="D119" s="8"/>
      <c r="E119" s="48">
        <v>7.2813319174451836</v>
      </c>
      <c r="F119" s="7" t="s">
        <v>1</v>
      </c>
      <c r="G119" s="602">
        <v>7.2813319174451836</v>
      </c>
      <c r="H119" s="590">
        <f t="shared" si="6"/>
        <v>0</v>
      </c>
      <c r="I119"/>
      <c r="J119" s="45"/>
    </row>
    <row r="120" spans="1:10" ht="15" x14ac:dyDescent="0.25">
      <c r="A120" s="707"/>
      <c r="B120" s="706"/>
      <c r="C120" s="211" t="s">
        <v>413</v>
      </c>
      <c r="D120" s="329"/>
      <c r="E120" s="313">
        <f>E119*E114</f>
        <v>7.2813319174451836</v>
      </c>
      <c r="F120" s="485" t="s">
        <v>1</v>
      </c>
      <c r="G120" s="602">
        <f>G119*G114</f>
        <v>7.2813319174451836</v>
      </c>
      <c r="H120" s="590">
        <f t="shared" si="6"/>
        <v>0</v>
      </c>
      <c r="I120"/>
      <c r="J120" s="45"/>
    </row>
    <row r="121" spans="1:10" x14ac:dyDescent="0.2">
      <c r="A121" s="707"/>
      <c r="B121" s="702" t="s">
        <v>285</v>
      </c>
      <c r="C121" s="30" t="s">
        <v>286</v>
      </c>
      <c r="D121" s="518" t="str">
        <f>IF(E121&gt;E120,"aumentar válvulas","suficiente")</f>
        <v>suficiente</v>
      </c>
      <c r="E121" s="72">
        <v>6</v>
      </c>
      <c r="F121" s="500" t="s">
        <v>1</v>
      </c>
      <c r="G121" s="602">
        <v>6</v>
      </c>
      <c r="H121" s="590">
        <f t="shared" si="6"/>
        <v>0</v>
      </c>
    </row>
    <row r="122" spans="1:10" x14ac:dyDescent="0.2">
      <c r="A122" s="707"/>
      <c r="B122" s="702"/>
      <c r="C122" s="211" t="s">
        <v>287</v>
      </c>
      <c r="D122" s="329" t="s">
        <v>288</v>
      </c>
      <c r="E122" s="313">
        <f>1000*E65/(60*E121)</f>
        <v>23.333333333333332</v>
      </c>
      <c r="F122" s="485" t="s">
        <v>39</v>
      </c>
      <c r="G122" s="602">
        <f>1000*G65/(60*G121)</f>
        <v>23.333333333333332</v>
      </c>
      <c r="H122" s="590">
        <f t="shared" si="6"/>
        <v>0</v>
      </c>
    </row>
    <row r="123" spans="1:10" ht="15" x14ac:dyDescent="0.25">
      <c r="A123" s="707"/>
      <c r="B123" s="704"/>
      <c r="C123" s="679" t="s">
        <v>333</v>
      </c>
      <c r="D123" s="55"/>
      <c r="E123" s="367"/>
      <c r="F123" s="253"/>
      <c r="G123" s="643"/>
      <c r="H123" s="581"/>
    </row>
    <row r="124" spans="1:10" x14ac:dyDescent="0.2">
      <c r="A124" s="707"/>
      <c r="B124" s="426"/>
      <c r="C124" s="430" t="s">
        <v>324</v>
      </c>
      <c r="D124" s="431"/>
      <c r="E124" s="222">
        <f>E14/1.3</f>
        <v>1.5384615384615383</v>
      </c>
      <c r="F124" s="464" t="s">
        <v>1</v>
      </c>
      <c r="G124" s="662">
        <f>G14/1.3</f>
        <v>1.5384615384615383</v>
      </c>
      <c r="H124" s="590">
        <f t="shared" ref="H124:H132" si="7">G124-E124</f>
        <v>0</v>
      </c>
    </row>
    <row r="125" spans="1:10" x14ac:dyDescent="0.2">
      <c r="A125" s="707"/>
      <c r="B125" s="701"/>
      <c r="C125" s="52"/>
      <c r="D125" s="428"/>
      <c r="E125" s="470">
        <f>E124*86.4</f>
        <v>132.92307692307693</v>
      </c>
      <c r="F125" s="38" t="s">
        <v>325</v>
      </c>
      <c r="G125" s="621">
        <f>G124*86.4</f>
        <v>132.92307692307693</v>
      </c>
      <c r="H125" s="590">
        <f t="shared" si="7"/>
        <v>0</v>
      </c>
    </row>
    <row r="126" spans="1:10" ht="15" x14ac:dyDescent="0.25">
      <c r="A126" s="707"/>
      <c r="B126" s="705"/>
      <c r="C126" s="30" t="s">
        <v>329</v>
      </c>
      <c r="D126" s="432">
        <v>0.2</v>
      </c>
      <c r="E126" s="72">
        <f>E125*D126</f>
        <v>26.58461538461539</v>
      </c>
      <c r="F126" s="500" t="s">
        <v>4</v>
      </c>
      <c r="G126" s="602">
        <f>G125*D126</f>
        <v>26.58461538461539</v>
      </c>
      <c r="H126" s="590">
        <f t="shared" si="7"/>
        <v>0</v>
      </c>
    </row>
    <row r="127" spans="1:10" ht="15" x14ac:dyDescent="0.25">
      <c r="A127" s="707"/>
      <c r="B127" s="713" t="s">
        <v>173</v>
      </c>
      <c r="C127" s="30" t="s">
        <v>326</v>
      </c>
      <c r="D127" s="31"/>
      <c r="E127" s="72">
        <v>2.75</v>
      </c>
      <c r="F127" s="500" t="s">
        <v>6</v>
      </c>
      <c r="G127" s="602">
        <v>2.75</v>
      </c>
      <c r="H127" s="590">
        <f t="shared" si="7"/>
        <v>0</v>
      </c>
    </row>
    <row r="128" spans="1:10" ht="15" x14ac:dyDescent="0.25">
      <c r="A128" s="707"/>
      <c r="B128" s="713" t="s">
        <v>173</v>
      </c>
      <c r="C128" s="30" t="s">
        <v>327</v>
      </c>
      <c r="D128" s="31"/>
      <c r="E128" s="72">
        <v>5</v>
      </c>
      <c r="F128" s="500" t="s">
        <v>6</v>
      </c>
      <c r="G128" s="602">
        <v>5</v>
      </c>
      <c r="H128" s="590">
        <f t="shared" si="7"/>
        <v>0</v>
      </c>
    </row>
    <row r="129" spans="1:8" ht="15" x14ac:dyDescent="0.25">
      <c r="A129" s="707"/>
      <c r="B129" s="702" t="s">
        <v>404</v>
      </c>
      <c r="C129" s="30" t="s">
        <v>328</v>
      </c>
      <c r="D129" s="31"/>
      <c r="E129" s="72">
        <v>2</v>
      </c>
      <c r="F129" s="500" t="s">
        <v>6</v>
      </c>
      <c r="G129" s="602">
        <v>2</v>
      </c>
      <c r="H129" s="590">
        <f t="shared" si="7"/>
        <v>0</v>
      </c>
    </row>
    <row r="130" spans="1:8" ht="15" x14ac:dyDescent="0.25">
      <c r="A130" s="707"/>
      <c r="B130" s="705"/>
      <c r="C130" s="6" t="s">
        <v>330</v>
      </c>
      <c r="D130" s="333" t="str">
        <f>IF(E130&gt;E126,"suficiente","insuficiente")</f>
        <v>suficiente</v>
      </c>
      <c r="E130" s="48">
        <f>E127*E128*E129</f>
        <v>27.5</v>
      </c>
      <c r="F130" s="7" t="s">
        <v>4</v>
      </c>
      <c r="G130" s="602">
        <f>G127*G128*G129</f>
        <v>27.5</v>
      </c>
      <c r="H130" s="590">
        <f t="shared" si="7"/>
        <v>0</v>
      </c>
    </row>
    <row r="131" spans="1:8" x14ac:dyDescent="0.2">
      <c r="A131" s="707"/>
      <c r="B131" s="242"/>
      <c r="C131" s="49" t="s">
        <v>331</v>
      </c>
      <c r="D131" s="256"/>
      <c r="E131" s="466">
        <v>30</v>
      </c>
      <c r="F131" s="17" t="s">
        <v>39</v>
      </c>
      <c r="G131" s="588">
        <v>30</v>
      </c>
      <c r="H131" s="590">
        <f t="shared" si="7"/>
        <v>0</v>
      </c>
    </row>
    <row r="132" spans="1:8" x14ac:dyDescent="0.2">
      <c r="A132" s="707"/>
      <c r="B132" s="227"/>
      <c r="C132" s="40" t="s">
        <v>332</v>
      </c>
      <c r="D132" s="97" t="str">
        <f>IF(E132&gt;E131,"suficiente","insuficiente")</f>
        <v>suficiente</v>
      </c>
      <c r="E132" s="429">
        <f>1000*E130/(E124*60)</f>
        <v>297.91666666666674</v>
      </c>
      <c r="F132" s="495" t="s">
        <v>39</v>
      </c>
      <c r="G132" s="609">
        <f>1000*G130/(G124*60)</f>
        <v>297.91666666666674</v>
      </c>
      <c r="H132" s="590">
        <f t="shared" si="7"/>
        <v>0</v>
      </c>
    </row>
    <row r="133" spans="1:8" x14ac:dyDescent="0.2">
      <c r="B133" s="462"/>
      <c r="D133" s="463"/>
      <c r="E133" s="222"/>
      <c r="F133" s="464"/>
    </row>
    <row r="134" spans="1:8" ht="15.75" x14ac:dyDescent="0.25">
      <c r="B134" s="465"/>
      <c r="C134" s="744" t="s">
        <v>513</v>
      </c>
      <c r="D134" s="750"/>
      <c r="E134"/>
    </row>
    <row r="135" spans="1:8" ht="15" customHeight="1" x14ac:dyDescent="0.25">
      <c r="C135" s="745" t="s">
        <v>514</v>
      </c>
      <c r="D135" s="751"/>
      <c r="E135" s="749"/>
    </row>
    <row r="136" spans="1:8" ht="15" customHeight="1" x14ac:dyDescent="0.25">
      <c r="C136" s="745" t="s">
        <v>515</v>
      </c>
      <c r="D136" s="751"/>
      <c r="E136" s="749"/>
    </row>
    <row r="137" spans="1:8" ht="15" customHeight="1" x14ac:dyDescent="0.25">
      <c r="C137" s="745" t="s">
        <v>516</v>
      </c>
      <c r="D137" s="752"/>
      <c r="E137" s="752"/>
    </row>
    <row r="138" spans="1:8" ht="15" customHeight="1" x14ac:dyDescent="0.25">
      <c r="C138" s="745" t="s">
        <v>517</v>
      </c>
      <c r="D138" s="751"/>
      <c r="E138" s="749"/>
    </row>
    <row r="139" spans="1:8" ht="15" customHeight="1" x14ac:dyDescent="0.25">
      <c r="C139" s="745" t="s">
        <v>518</v>
      </c>
      <c r="D139" s="751"/>
      <c r="E139" s="749"/>
    </row>
    <row r="140" spans="1:8" ht="15" x14ac:dyDescent="0.25">
      <c r="C140" s="745" t="s">
        <v>539</v>
      </c>
      <c r="D140" s="749"/>
      <c r="E140" s="749"/>
    </row>
    <row r="141" spans="1:8" ht="15" customHeight="1" x14ac:dyDescent="0.25">
      <c r="C141" s="745" t="s">
        <v>519</v>
      </c>
      <c r="D141" s="749"/>
      <c r="E141" s="749"/>
    </row>
    <row r="142" spans="1:8" ht="15" customHeight="1" x14ac:dyDescent="0.25">
      <c r="C142" s="745" t="s">
        <v>530</v>
      </c>
      <c r="D142" s="749"/>
      <c r="E142" s="749"/>
    </row>
    <row r="143" spans="1:8" ht="15" x14ac:dyDescent="0.25">
      <c r="C143" s="745" t="s">
        <v>531</v>
      </c>
      <c r="D143" s="749"/>
      <c r="E143" s="749"/>
    </row>
    <row r="144" spans="1:8" ht="15" customHeight="1" x14ac:dyDescent="0.25">
      <c r="C144" s="745" t="s">
        <v>520</v>
      </c>
      <c r="D144" s="749"/>
      <c r="E144" s="749"/>
    </row>
    <row r="145" spans="3:5" ht="15" x14ac:dyDescent="0.25">
      <c r="C145" s="745" t="s">
        <v>521</v>
      </c>
      <c r="D145" s="749"/>
      <c r="E145" s="749"/>
    </row>
    <row r="146" spans="3:5" ht="15" customHeight="1" x14ac:dyDescent="0.25">
      <c r="C146" s="745" t="s">
        <v>540</v>
      </c>
      <c r="D146" s="749"/>
      <c r="E146" s="749"/>
    </row>
    <row r="147" spans="3:5" ht="14.25" customHeight="1" x14ac:dyDescent="0.25">
      <c r="C147" s="745" t="s">
        <v>522</v>
      </c>
      <c r="D147" s="749"/>
      <c r="E147" s="749"/>
    </row>
    <row r="148" spans="3:5" ht="15" customHeight="1" x14ac:dyDescent="0.25">
      <c r="C148" s="745" t="s">
        <v>532</v>
      </c>
      <c r="D148" s="749"/>
      <c r="E148" s="749"/>
    </row>
    <row r="149" spans="3:5" ht="15" customHeight="1" x14ac:dyDescent="0.25">
      <c r="C149" s="745" t="s">
        <v>523</v>
      </c>
      <c r="D149" s="752"/>
      <c r="E149" s="752"/>
    </row>
    <row r="150" spans="3:5" ht="15" customHeight="1" x14ac:dyDescent="0.2">
      <c r="C150" s="746" t="s">
        <v>524</v>
      </c>
      <c r="D150" s="746"/>
      <c r="E150" s="746"/>
    </row>
    <row r="151" spans="3:5" ht="15" customHeight="1" x14ac:dyDescent="0.25">
      <c r="C151" s="746" t="s">
        <v>525</v>
      </c>
      <c r="D151" s="753"/>
      <c r="E151" s="753"/>
    </row>
    <row r="152" spans="3:5" ht="15" customHeight="1" x14ac:dyDescent="0.25">
      <c r="C152" s="746" t="s">
        <v>526</v>
      </c>
      <c r="D152" s="747"/>
      <c r="E152" s="748"/>
    </row>
    <row r="153" spans="3:5" ht="15" customHeight="1" x14ac:dyDescent="0.25">
      <c r="C153" s="746" t="s">
        <v>527</v>
      </c>
      <c r="D153" s="747"/>
      <c r="E153" s="748"/>
    </row>
    <row r="154" spans="3:5" ht="15" customHeight="1" x14ac:dyDescent="0.25">
      <c r="C154" s="746" t="s">
        <v>528</v>
      </c>
      <c r="D154" s="749"/>
      <c r="E154" s="749"/>
    </row>
    <row r="155" spans="3:5" ht="15" customHeight="1" x14ac:dyDescent="0.25">
      <c r="C155" s="746" t="s">
        <v>529</v>
      </c>
      <c r="D155" s="748"/>
      <c r="E155" s="748"/>
    </row>
    <row r="156" spans="3:5" ht="15" x14ac:dyDescent="0.25">
      <c r="C156" s="746" t="s">
        <v>533</v>
      </c>
      <c r="D156" s="747"/>
      <c r="E156" s="748"/>
    </row>
  </sheetData>
  <mergeCells count="23">
    <mergeCell ref="C153:E153"/>
    <mergeCell ref="C151:E151"/>
    <mergeCell ref="C146:E146"/>
    <mergeCell ref="C147:E147"/>
    <mergeCell ref="C148:E148"/>
    <mergeCell ref="C149:E149"/>
    <mergeCell ref="C150:E150"/>
    <mergeCell ref="C156:E156"/>
    <mergeCell ref="C154:E154"/>
    <mergeCell ref="C155:E155"/>
    <mergeCell ref="C145:E145"/>
    <mergeCell ref="C134:D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52:E152"/>
  </mergeCell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7E6D-8F7F-40EB-8A3D-99DF97095576}">
  <dimension ref="A1:I72"/>
  <sheetViews>
    <sheetView showGridLines="0" topLeftCell="B2" zoomScale="75" zoomScaleNormal="75" workbookViewId="0">
      <selection activeCell="F19" sqref="F19"/>
    </sheetView>
  </sheetViews>
  <sheetFormatPr baseColWidth="10" defaultRowHeight="15" x14ac:dyDescent="0.25"/>
  <cols>
    <col min="1" max="1" width="24.140625" customWidth="1"/>
    <col min="2" max="2" width="49.42578125" customWidth="1"/>
    <col min="3" max="3" width="58.85546875" customWidth="1"/>
    <col min="4" max="4" width="25.7109375" customWidth="1"/>
    <col min="5" max="5" width="16.7109375" customWidth="1"/>
    <col min="6" max="6" width="17.85546875" customWidth="1"/>
    <col min="7" max="7" width="15" customWidth="1"/>
    <col min="8" max="8" width="14.5703125" customWidth="1"/>
  </cols>
  <sheetData>
    <row r="1" spans="1:8" ht="31.5" x14ac:dyDescent="0.25">
      <c r="A1" s="630" t="s">
        <v>538</v>
      </c>
      <c r="B1" s="630" t="s">
        <v>148</v>
      </c>
      <c r="C1" s="716"/>
      <c r="D1" s="221"/>
      <c r="E1" s="221"/>
      <c r="F1" s="221"/>
      <c r="G1" s="630" t="s">
        <v>149</v>
      </c>
      <c r="H1" s="583" t="s">
        <v>150</v>
      </c>
    </row>
    <row r="2" spans="1:8" ht="15.75" x14ac:dyDescent="0.25">
      <c r="A2" s="2"/>
      <c r="B2" s="726"/>
      <c r="C2" s="754" t="s">
        <v>574</v>
      </c>
      <c r="D2" s="755"/>
      <c r="E2" s="755"/>
      <c r="F2" s="756"/>
      <c r="G2" s="123"/>
      <c r="H2" s="717"/>
    </row>
    <row r="3" spans="1:8" x14ac:dyDescent="0.25">
      <c r="A3" s="2"/>
      <c r="B3" s="727"/>
      <c r="C3" s="680" t="s">
        <v>319</v>
      </c>
      <c r="D3" s="433"/>
      <c r="E3" s="476"/>
      <c r="F3" s="477"/>
      <c r="G3" s="663"/>
      <c r="H3" s="664"/>
    </row>
    <row r="4" spans="1:8" x14ac:dyDescent="0.25">
      <c r="A4" s="2"/>
      <c r="B4" s="718" t="s">
        <v>404</v>
      </c>
      <c r="C4" s="315" t="s">
        <v>568</v>
      </c>
      <c r="D4" s="547" t="s">
        <v>475</v>
      </c>
      <c r="E4" s="65">
        <v>0.5</v>
      </c>
      <c r="F4" s="537" t="s">
        <v>6</v>
      </c>
      <c r="G4" s="588">
        <v>0.5</v>
      </c>
      <c r="H4" s="590">
        <f t="shared" ref="H4:H11" si="0">G4-E4</f>
        <v>0</v>
      </c>
    </row>
    <row r="5" spans="1:8" ht="15" customHeight="1" x14ac:dyDescent="0.25">
      <c r="A5" s="2"/>
      <c r="B5" s="719" t="s">
        <v>477</v>
      </c>
      <c r="C5" s="315" t="s">
        <v>398</v>
      </c>
      <c r="D5" s="143" t="str">
        <f>IF(ABS(E5-E4)&gt;0.02,"ejecutar función objetivo","correcto ")</f>
        <v xml:space="preserve">correcto </v>
      </c>
      <c r="E5" s="222">
        <f>'Tuberías Varias'!E23</f>
        <v>0.49999250554188562</v>
      </c>
      <c r="F5" s="464" t="s">
        <v>6</v>
      </c>
      <c r="G5" s="620">
        <f>'Tuberías Varias'!G23</f>
        <v>0.49999250554188562</v>
      </c>
      <c r="H5" s="590">
        <f t="shared" si="0"/>
        <v>0</v>
      </c>
    </row>
    <row r="6" spans="1:8" x14ac:dyDescent="0.25">
      <c r="A6" s="2"/>
      <c r="B6" s="720" t="s">
        <v>411</v>
      </c>
      <c r="C6" s="28" t="s">
        <v>445</v>
      </c>
      <c r="D6" s="536"/>
      <c r="E6" s="65">
        <v>2.0332039598278451</v>
      </c>
      <c r="F6" s="537" t="s">
        <v>1</v>
      </c>
      <c r="G6" s="588">
        <v>2.0332039598278451</v>
      </c>
      <c r="H6" s="590">
        <f t="shared" si="0"/>
        <v>0</v>
      </c>
    </row>
    <row r="7" spans="1:8" x14ac:dyDescent="0.25">
      <c r="A7" s="2"/>
      <c r="B7" s="721"/>
      <c r="C7" s="28" t="s">
        <v>398</v>
      </c>
      <c r="D7" s="333" t="str">
        <f>IF(E7&lt;E4,"cumple","reducir caudal de lodos")</f>
        <v>cumple</v>
      </c>
      <c r="E7" s="65">
        <f>'Tuberías Varias'!E23</f>
        <v>0.49999250554188562</v>
      </c>
      <c r="F7" s="537" t="s">
        <v>6</v>
      </c>
      <c r="G7" s="588">
        <f>'Tuberías Varias'!G23</f>
        <v>0.49999250554188562</v>
      </c>
      <c r="H7" s="590">
        <f t="shared" si="0"/>
        <v>0</v>
      </c>
    </row>
    <row r="8" spans="1:8" x14ac:dyDescent="0.25">
      <c r="A8" s="2"/>
      <c r="B8" s="722" t="s">
        <v>173</v>
      </c>
      <c r="C8" s="733" t="s">
        <v>572</v>
      </c>
      <c r="D8" s="734"/>
      <c r="E8" s="84">
        <v>0.02</v>
      </c>
      <c r="F8" s="500" t="s">
        <v>6</v>
      </c>
      <c r="G8" s="602">
        <v>0.02</v>
      </c>
      <c r="H8" s="590">
        <f t="shared" si="0"/>
        <v>0</v>
      </c>
    </row>
    <row r="9" spans="1:8" x14ac:dyDescent="0.25">
      <c r="A9" s="2"/>
      <c r="B9" s="722"/>
      <c r="C9" s="427" t="s">
        <v>575</v>
      </c>
      <c r="D9" s="738"/>
      <c r="E9" s="337">
        <f>E8*24*60/'Planta TPQA'!E64</f>
        <v>0.41142857142857137</v>
      </c>
      <c r="F9" s="739" t="s">
        <v>6</v>
      </c>
      <c r="G9" s="602">
        <f>G8*24*60/'Planta TPQA'!G64</f>
        <v>0.41142857142857137</v>
      </c>
      <c r="H9" s="590">
        <f t="shared" si="0"/>
        <v>0</v>
      </c>
    </row>
    <row r="10" spans="1:8" x14ac:dyDescent="0.25">
      <c r="A10" s="2"/>
      <c r="B10" s="721"/>
      <c r="C10" s="10" t="s">
        <v>360</v>
      </c>
      <c r="D10" s="736"/>
      <c r="E10" s="737">
        <f>E8*'Planta TPQA'!E56</f>
        <v>0.504</v>
      </c>
      <c r="F10" s="16" t="s">
        <v>4</v>
      </c>
      <c r="G10" s="602">
        <f>G8*'Planta TPQA'!G56</f>
        <v>0.504</v>
      </c>
      <c r="H10" s="590">
        <f t="shared" si="0"/>
        <v>0</v>
      </c>
    </row>
    <row r="11" spans="1:8" x14ac:dyDescent="0.25">
      <c r="A11" s="2"/>
      <c r="B11" s="87"/>
      <c r="C11" s="427" t="s">
        <v>82</v>
      </c>
      <c r="D11" s="439" t="str">
        <f>IF(E11&lt;'Planta TPQA'!E74,"cumple","ampliar diametro tuberia")</f>
        <v>cumple</v>
      </c>
      <c r="E11" s="440">
        <f>1000*E10/(E6*60)</f>
        <v>4.1314104074001721</v>
      </c>
      <c r="F11" s="501" t="s">
        <v>39</v>
      </c>
      <c r="G11" s="615">
        <f>1000*G10/(G6*60)</f>
        <v>4.1314104074001721</v>
      </c>
      <c r="H11" s="590">
        <f t="shared" si="0"/>
        <v>0</v>
      </c>
    </row>
    <row r="12" spans="1:8" x14ac:dyDescent="0.25">
      <c r="A12" s="2"/>
      <c r="B12" s="87"/>
      <c r="C12" s="22" t="s">
        <v>337</v>
      </c>
      <c r="D12" s="8"/>
      <c r="E12" s="79"/>
      <c r="F12" s="7"/>
      <c r="G12" s="643"/>
      <c r="H12" s="581"/>
    </row>
    <row r="13" spans="1:8" x14ac:dyDescent="0.25">
      <c r="A13" s="2"/>
      <c r="B13" s="723" t="s">
        <v>478</v>
      </c>
      <c r="C13" s="311" t="s">
        <v>338</v>
      </c>
      <c r="D13" s="552" t="str">
        <f>'Planta TPQA'!E69</f>
        <v>Sulfato de Aluminio</v>
      </c>
      <c r="E13" s="553">
        <v>60</v>
      </c>
      <c r="F13" s="484" t="s">
        <v>8</v>
      </c>
      <c r="G13" s="599">
        <v>60</v>
      </c>
      <c r="H13" s="590">
        <f t="shared" ref="H13:H23" si="1">G13-E13</f>
        <v>0</v>
      </c>
    </row>
    <row r="14" spans="1:8" x14ac:dyDescent="0.25">
      <c r="A14" s="2"/>
      <c r="B14" s="87"/>
      <c r="C14" s="28" t="s">
        <v>391</v>
      </c>
      <c r="D14" s="55"/>
      <c r="E14" s="65">
        <f>E13*'Planta TPQA'!E65/1000</f>
        <v>0.504</v>
      </c>
      <c r="F14" s="55" t="s">
        <v>392</v>
      </c>
      <c r="G14" s="588">
        <f>G13*'Planta TPQA'!G65/1000</f>
        <v>0.504</v>
      </c>
      <c r="H14" s="590">
        <f t="shared" si="1"/>
        <v>0</v>
      </c>
    </row>
    <row r="15" spans="1:8" x14ac:dyDescent="0.25">
      <c r="A15" s="2"/>
      <c r="B15" s="721" t="s">
        <v>263</v>
      </c>
      <c r="C15" s="430" t="s">
        <v>342</v>
      </c>
      <c r="D15" s="316" t="s">
        <v>343</v>
      </c>
      <c r="E15" s="88">
        <f>VLOOKUP('Planta TPQA'!E69,Floculación!A3:F4,4)</f>
        <v>0.45</v>
      </c>
      <c r="F15" s="316" t="s">
        <v>393</v>
      </c>
      <c r="G15" s="585">
        <f>VLOOKUP('Planta TPQA'!G69,Floculación!A3:F4,4)</f>
        <v>0.45</v>
      </c>
      <c r="H15" s="590">
        <f t="shared" si="1"/>
        <v>0</v>
      </c>
    </row>
    <row r="16" spans="1:8" x14ac:dyDescent="0.25">
      <c r="A16" s="2"/>
      <c r="B16" s="87"/>
      <c r="C16" s="52"/>
      <c r="D16" s="433" t="s">
        <v>344</v>
      </c>
      <c r="E16" s="469">
        <f>E14*E15</f>
        <v>0.2268</v>
      </c>
      <c r="F16" s="433" t="s">
        <v>392</v>
      </c>
      <c r="G16" s="622">
        <f>G14*G15</f>
        <v>0.2268</v>
      </c>
      <c r="H16" s="590">
        <f t="shared" si="1"/>
        <v>0</v>
      </c>
    </row>
    <row r="17" spans="1:8" x14ac:dyDescent="0.25">
      <c r="A17" s="2"/>
      <c r="B17" s="721" t="s">
        <v>202</v>
      </c>
      <c r="C17" s="28" t="s">
        <v>395</v>
      </c>
      <c r="D17" s="55"/>
      <c r="E17" s="367">
        <v>0.85</v>
      </c>
      <c r="F17" s="55"/>
      <c r="G17" s="616">
        <v>0.85</v>
      </c>
      <c r="H17" s="590">
        <f t="shared" si="1"/>
        <v>0</v>
      </c>
    </row>
    <row r="18" spans="1:8" x14ac:dyDescent="0.25">
      <c r="A18" s="2"/>
      <c r="B18" s="721" t="s">
        <v>550</v>
      </c>
      <c r="C18" s="317" t="s">
        <v>394</v>
      </c>
      <c r="D18" s="468"/>
      <c r="E18" s="466">
        <f>50/37</f>
        <v>1.3513513513513513</v>
      </c>
      <c r="F18" s="499" t="s">
        <v>396</v>
      </c>
      <c r="G18" s="588">
        <f>50/37</f>
        <v>1.3513513513513513</v>
      </c>
      <c r="H18" s="590">
        <f t="shared" si="1"/>
        <v>0</v>
      </c>
    </row>
    <row r="19" spans="1:8" x14ac:dyDescent="0.25">
      <c r="A19" s="2"/>
      <c r="B19" s="87"/>
      <c r="C19" s="427" t="s">
        <v>397</v>
      </c>
      <c r="D19" s="336"/>
      <c r="E19" s="337">
        <f>E16/(E18*E17)</f>
        <v>0.19744941176470587</v>
      </c>
      <c r="F19" s="336" t="s">
        <v>392</v>
      </c>
      <c r="G19" s="588">
        <f>G16/(G18*G17)</f>
        <v>0.19744941176470587</v>
      </c>
      <c r="H19" s="590">
        <f t="shared" si="1"/>
        <v>0</v>
      </c>
    </row>
    <row r="20" spans="1:8" x14ac:dyDescent="0.25">
      <c r="A20" s="2"/>
      <c r="B20" s="87"/>
      <c r="C20" s="6" t="s">
        <v>356</v>
      </c>
      <c r="D20" s="54"/>
      <c r="E20" s="65">
        <f>E19*(1-E17)*'Planta TPQA'!E80</f>
        <v>0.62750930933529825</v>
      </c>
      <c r="F20" s="7" t="s">
        <v>12</v>
      </c>
      <c r="G20" s="588">
        <f>G19*(1-G17)*'Planta TPQA'!G80</f>
        <v>0.62750930933529825</v>
      </c>
      <c r="H20" s="590">
        <f t="shared" si="1"/>
        <v>0</v>
      </c>
    </row>
    <row r="21" spans="1:8" x14ac:dyDescent="0.25">
      <c r="A21" s="2"/>
      <c r="B21" s="721" t="s">
        <v>263</v>
      </c>
      <c r="C21" s="430" t="s">
        <v>345</v>
      </c>
      <c r="D21" s="316" t="s">
        <v>343</v>
      </c>
      <c r="E21" s="88">
        <f>VLOOKUP('Planta TPQA'!E69,Floculación!A3:H4,8)</f>
        <v>0.23400000000000001</v>
      </c>
      <c r="F21" s="316" t="s">
        <v>393</v>
      </c>
      <c r="G21" s="603">
        <f>VLOOKUP('Planta TPQA'!G69,Floculación!A3:H4,8)</f>
        <v>0.23400000000000001</v>
      </c>
      <c r="H21" s="590">
        <f t="shared" si="1"/>
        <v>0</v>
      </c>
    </row>
    <row r="22" spans="1:8" x14ac:dyDescent="0.25">
      <c r="A22" s="2"/>
      <c r="B22" s="87"/>
      <c r="C22" s="52"/>
      <c r="D22" s="433" t="s">
        <v>344</v>
      </c>
      <c r="E22" s="175">
        <f>E14*E21</f>
        <v>0.11793600000000001</v>
      </c>
      <c r="F22" s="433" t="s">
        <v>392</v>
      </c>
      <c r="G22" s="598">
        <f>G14*G21</f>
        <v>0.11793600000000001</v>
      </c>
      <c r="H22" s="590">
        <f t="shared" si="1"/>
        <v>0</v>
      </c>
    </row>
    <row r="23" spans="1:8" x14ac:dyDescent="0.25">
      <c r="A23" s="2"/>
      <c r="B23" s="87"/>
      <c r="C23" s="6" t="s">
        <v>355</v>
      </c>
      <c r="D23" s="54"/>
      <c r="E23" s="65">
        <f>E22*'Planta TPQA'!E80</f>
        <v>2.4987307632991156</v>
      </c>
      <c r="F23" s="7" t="s">
        <v>12</v>
      </c>
      <c r="G23" s="588">
        <f>G22*'Planta TPQA'!G80</f>
        <v>2.4987307632991156</v>
      </c>
      <c r="H23" s="590">
        <f t="shared" si="1"/>
        <v>0</v>
      </c>
    </row>
    <row r="24" spans="1:8" x14ac:dyDescent="0.25">
      <c r="A24" s="2"/>
      <c r="B24" s="87"/>
      <c r="C24" s="22" t="s">
        <v>336</v>
      </c>
      <c r="D24" s="8"/>
      <c r="E24" s="48"/>
      <c r="F24" s="7"/>
      <c r="G24" s="643"/>
      <c r="H24" s="581"/>
    </row>
    <row r="25" spans="1:8" x14ac:dyDescent="0.25">
      <c r="A25" s="2"/>
      <c r="B25" s="87"/>
      <c r="C25" s="6" t="s">
        <v>56</v>
      </c>
      <c r="D25" s="8"/>
      <c r="E25" s="48">
        <f>'Planta TPQA'!E18</f>
        <v>10.368</v>
      </c>
      <c r="F25" s="7" t="s">
        <v>11</v>
      </c>
      <c r="G25" s="602">
        <f>'Planta TPQA'!G18</f>
        <v>10.368</v>
      </c>
      <c r="H25" s="590">
        <f t="shared" ref="H25:H32" si="2">G25-E25</f>
        <v>0</v>
      </c>
    </row>
    <row r="26" spans="1:8" x14ac:dyDescent="0.25">
      <c r="A26" s="2"/>
      <c r="B26" s="87"/>
      <c r="C26" s="6" t="s">
        <v>275</v>
      </c>
      <c r="D26" s="8"/>
      <c r="E26" s="48">
        <f>E25</f>
        <v>10.368</v>
      </c>
      <c r="F26" s="7" t="s">
        <v>11</v>
      </c>
      <c r="G26" s="602">
        <f>G25</f>
        <v>10.368</v>
      </c>
      <c r="H26" s="590">
        <f t="shared" si="2"/>
        <v>0</v>
      </c>
    </row>
    <row r="27" spans="1:8" x14ac:dyDescent="0.25">
      <c r="A27" s="2"/>
      <c r="B27" s="724" t="s">
        <v>570</v>
      </c>
      <c r="C27" s="434" t="s">
        <v>347</v>
      </c>
      <c r="D27" s="435" t="s">
        <v>348</v>
      </c>
      <c r="E27" s="436">
        <v>0.67</v>
      </c>
      <c r="F27" s="502"/>
      <c r="G27" s="602">
        <v>0.67</v>
      </c>
      <c r="H27" s="590">
        <f t="shared" si="2"/>
        <v>0</v>
      </c>
    </row>
    <row r="28" spans="1:8" x14ac:dyDescent="0.25">
      <c r="A28" s="2"/>
      <c r="B28" s="724">
        <f>[2]Hoja1!$A$18</f>
        <v>0</v>
      </c>
      <c r="C28" s="434" t="s">
        <v>349</v>
      </c>
      <c r="D28" s="435" t="s">
        <v>61</v>
      </c>
      <c r="E28" s="436">
        <v>0.06</v>
      </c>
      <c r="F28" s="502" t="s">
        <v>350</v>
      </c>
      <c r="G28" s="602">
        <v>0.06</v>
      </c>
      <c r="H28" s="590">
        <f t="shared" si="2"/>
        <v>0</v>
      </c>
    </row>
    <row r="29" spans="1:8" x14ac:dyDescent="0.25">
      <c r="A29" s="2"/>
      <c r="B29" s="724" t="s">
        <v>351</v>
      </c>
      <c r="C29" s="434" t="s">
        <v>60</v>
      </c>
      <c r="D29" s="437"/>
      <c r="E29" s="438">
        <v>40</v>
      </c>
      <c r="F29" s="502" t="s">
        <v>277</v>
      </c>
      <c r="G29" s="606">
        <v>40</v>
      </c>
      <c r="H29" s="590">
        <f t="shared" si="2"/>
        <v>0</v>
      </c>
    </row>
    <row r="30" spans="1:8" x14ac:dyDescent="0.25">
      <c r="A30" s="2"/>
      <c r="B30" s="724" t="s">
        <v>352</v>
      </c>
      <c r="C30" s="211" t="s">
        <v>354</v>
      </c>
      <c r="D30" s="212"/>
      <c r="E30" s="313">
        <f>E27*E26/(1+E28*E29)</f>
        <v>2.0431058823529415</v>
      </c>
      <c r="F30" s="485" t="s">
        <v>353</v>
      </c>
      <c r="G30" s="602">
        <f>G27*G26/(1+G28*G29)</f>
        <v>2.0431058823529415</v>
      </c>
      <c r="H30" s="590">
        <f t="shared" si="2"/>
        <v>0</v>
      </c>
    </row>
    <row r="31" spans="1:8" x14ac:dyDescent="0.25">
      <c r="A31" s="2"/>
      <c r="B31" s="724"/>
      <c r="C31" s="357" t="s">
        <v>362</v>
      </c>
      <c r="D31" s="441"/>
      <c r="E31" s="442">
        <f>E20+E23+E30</f>
        <v>5.1693459549873548</v>
      </c>
      <c r="F31" s="503" t="s">
        <v>11</v>
      </c>
      <c r="G31" s="662">
        <f>G20+G23+G30</f>
        <v>5.1693459549873548</v>
      </c>
      <c r="H31" s="590">
        <f t="shared" si="2"/>
        <v>0</v>
      </c>
    </row>
    <row r="32" spans="1:8" x14ac:dyDescent="0.25">
      <c r="A32" s="2"/>
      <c r="B32" s="724"/>
      <c r="C32" s="356"/>
      <c r="D32" s="443"/>
      <c r="E32" s="729">
        <f>1000*E31/'Planta TPQA'!E80</f>
        <v>243.98466353472</v>
      </c>
      <c r="F32" s="504" t="s">
        <v>361</v>
      </c>
      <c r="G32" s="621">
        <f>1000*G31/'Planta TPQA'!G80</f>
        <v>243.98466353472</v>
      </c>
      <c r="H32" s="590">
        <f t="shared" si="2"/>
        <v>0</v>
      </c>
    </row>
    <row r="33" spans="1:9" x14ac:dyDescent="0.25">
      <c r="A33" s="2"/>
      <c r="B33" s="87"/>
      <c r="C33" s="22" t="s">
        <v>562</v>
      </c>
      <c r="D33" s="8"/>
      <c r="E33" s="48"/>
      <c r="F33" s="7"/>
      <c r="G33" s="643"/>
      <c r="H33" s="581"/>
    </row>
    <row r="34" spans="1:9" x14ac:dyDescent="0.25">
      <c r="A34" s="2"/>
      <c r="B34" s="724"/>
      <c r="C34" s="6" t="s">
        <v>565</v>
      </c>
      <c r="D34" s="8"/>
      <c r="E34" s="48">
        <f>E32/'Planta TPQA'!E65</f>
        <v>29.045793277942856</v>
      </c>
      <c r="F34" s="7" t="s">
        <v>74</v>
      </c>
      <c r="G34" s="662">
        <f>G32/'Planta TPQA'!G65</f>
        <v>29.045793277942856</v>
      </c>
      <c r="H34" s="590">
        <f t="shared" ref="H34:H40" si="3">G34-E34</f>
        <v>0</v>
      </c>
    </row>
    <row r="35" spans="1:9" x14ac:dyDescent="0.25">
      <c r="A35" s="2"/>
      <c r="B35" s="721" t="s">
        <v>551</v>
      </c>
      <c r="C35" s="197" t="s">
        <v>552</v>
      </c>
      <c r="D35" s="435" t="s">
        <v>554</v>
      </c>
      <c r="E35" s="711">
        <f>(0.05+0.1)/2</f>
        <v>7.5000000000000011E-2</v>
      </c>
      <c r="F35" s="502"/>
      <c r="G35" s="714">
        <f>(0.05+0.1)/2</f>
        <v>7.5000000000000011E-2</v>
      </c>
      <c r="H35" s="590">
        <f t="shared" si="3"/>
        <v>0</v>
      </c>
    </row>
    <row r="36" spans="1:9" x14ac:dyDescent="0.25">
      <c r="A36" s="2"/>
      <c r="B36" s="721" t="s">
        <v>553</v>
      </c>
      <c r="C36" s="197" t="s">
        <v>555</v>
      </c>
      <c r="D36" s="435"/>
      <c r="E36" s="563">
        <v>1.4</v>
      </c>
      <c r="F36" s="502"/>
      <c r="G36" s="585">
        <v>1.4</v>
      </c>
      <c r="H36" s="590">
        <f t="shared" si="3"/>
        <v>0</v>
      </c>
    </row>
    <row r="37" spans="1:9" x14ac:dyDescent="0.25">
      <c r="A37" s="2"/>
      <c r="B37" s="721"/>
      <c r="C37" s="730" t="s">
        <v>556</v>
      </c>
      <c r="D37" s="212"/>
      <c r="E37" s="731">
        <f>1000*E35*E36</f>
        <v>105.00000000000001</v>
      </c>
      <c r="F37" s="485" t="s">
        <v>13</v>
      </c>
      <c r="G37" s="715">
        <f>1000*G35*G36</f>
        <v>105.00000000000001</v>
      </c>
      <c r="H37" s="590">
        <f t="shared" si="3"/>
        <v>0</v>
      </c>
    </row>
    <row r="38" spans="1:9" x14ac:dyDescent="0.25">
      <c r="A38" s="2"/>
      <c r="B38" s="724" t="s">
        <v>548</v>
      </c>
      <c r="C38" s="49" t="s">
        <v>383</v>
      </c>
      <c r="D38" s="435"/>
      <c r="E38" s="438">
        <v>7</v>
      </c>
      <c r="F38" s="502" t="s">
        <v>33</v>
      </c>
      <c r="G38" s="602">
        <v>7</v>
      </c>
      <c r="H38" s="590">
        <f t="shared" si="3"/>
        <v>0</v>
      </c>
    </row>
    <row r="39" spans="1:9" x14ac:dyDescent="0.25">
      <c r="A39" s="2"/>
      <c r="B39" s="721"/>
      <c r="C39" s="6" t="s">
        <v>558</v>
      </c>
      <c r="D39" s="54"/>
      <c r="E39" s="48">
        <f>E31*E38</f>
        <v>36.185421684911482</v>
      </c>
      <c r="F39" s="7" t="s">
        <v>276</v>
      </c>
      <c r="G39" s="602">
        <f>G31*G38</f>
        <v>36.185421684911482</v>
      </c>
      <c r="H39" s="590">
        <f t="shared" si="3"/>
        <v>0</v>
      </c>
    </row>
    <row r="40" spans="1:9" x14ac:dyDescent="0.25">
      <c r="A40" s="2"/>
      <c r="B40" s="724"/>
      <c r="C40" s="6" t="s">
        <v>557</v>
      </c>
      <c r="D40" s="8"/>
      <c r="E40" s="48">
        <f>E39/E37</f>
        <v>0.34462306366582357</v>
      </c>
      <c r="F40" s="7" t="s">
        <v>4</v>
      </c>
      <c r="G40" s="602">
        <f>G39/G37</f>
        <v>0.34462306366582357</v>
      </c>
      <c r="H40" s="590">
        <f t="shared" si="3"/>
        <v>0</v>
      </c>
    </row>
    <row r="41" spans="1:9" x14ac:dyDescent="0.25">
      <c r="A41" s="2"/>
      <c r="B41" s="722" t="s">
        <v>173</v>
      </c>
      <c r="C41" s="30" t="s">
        <v>358</v>
      </c>
      <c r="D41" s="31"/>
      <c r="E41" s="72">
        <v>5.5</v>
      </c>
      <c r="F41" s="500" t="s">
        <v>6</v>
      </c>
      <c r="G41" s="602">
        <v>5.5</v>
      </c>
      <c r="H41" s="590">
        <f t="shared" ref="H41:H49" si="4">G41-E41</f>
        <v>0</v>
      </c>
    </row>
    <row r="42" spans="1:9" x14ac:dyDescent="0.25">
      <c r="A42" s="2"/>
      <c r="B42" s="722" t="s">
        <v>173</v>
      </c>
      <c r="C42" s="30" t="s">
        <v>357</v>
      </c>
      <c r="D42" s="31"/>
      <c r="E42" s="72">
        <v>2</v>
      </c>
      <c r="F42" s="500" t="s">
        <v>6</v>
      </c>
      <c r="G42" s="602">
        <v>2</v>
      </c>
      <c r="H42" s="590">
        <f t="shared" si="4"/>
        <v>0</v>
      </c>
    </row>
    <row r="43" spans="1:9" x14ac:dyDescent="0.25">
      <c r="A43" s="2"/>
      <c r="B43" s="724"/>
      <c r="C43" s="211" t="s">
        <v>359</v>
      </c>
      <c r="D43" s="439" t="str">
        <f>IF(E43&gt;E49,"suficiente","insuficiente")</f>
        <v>suficiente</v>
      </c>
      <c r="E43" s="313">
        <f>E41*E42</f>
        <v>11</v>
      </c>
      <c r="F43" s="485" t="s">
        <v>5</v>
      </c>
      <c r="G43" s="602">
        <f>G41*G42</f>
        <v>11</v>
      </c>
      <c r="H43" s="590">
        <f t="shared" si="4"/>
        <v>0</v>
      </c>
    </row>
    <row r="44" spans="1:9" x14ac:dyDescent="0.25">
      <c r="A44" s="2"/>
      <c r="B44" s="724"/>
      <c r="C44" s="40" t="s">
        <v>559</v>
      </c>
      <c r="D44" s="97" t="str">
        <f>IF(E44&lt;E45,"adecuada","excesiva")</f>
        <v>adecuada</v>
      </c>
      <c r="E44" s="78">
        <f>E40/E43</f>
        <v>3.1329369424165782E-2</v>
      </c>
      <c r="F44" s="735" t="s">
        <v>6</v>
      </c>
      <c r="G44" s="614">
        <f>G40/G43</f>
        <v>3.1329369424165782E-2</v>
      </c>
      <c r="H44" s="590">
        <f t="shared" si="4"/>
        <v>0</v>
      </c>
      <c r="I44">
        <v>3.1199999999999999E-2</v>
      </c>
    </row>
    <row r="45" spans="1:9" x14ac:dyDescent="0.25">
      <c r="A45" s="2"/>
      <c r="B45" s="724" t="s">
        <v>569</v>
      </c>
      <c r="C45" s="434" t="s">
        <v>560</v>
      </c>
      <c r="D45" s="712"/>
      <c r="E45" s="436">
        <v>0.2</v>
      </c>
      <c r="F45" s="502" t="s">
        <v>6</v>
      </c>
      <c r="G45" s="602">
        <v>0.2</v>
      </c>
      <c r="H45" s="590">
        <f t="shared" si="4"/>
        <v>0</v>
      </c>
    </row>
    <row r="46" spans="1:9" x14ac:dyDescent="0.25">
      <c r="A46" s="2"/>
      <c r="B46" s="724" t="s">
        <v>543</v>
      </c>
      <c r="C46" s="434" t="s">
        <v>364</v>
      </c>
      <c r="D46" s="435"/>
      <c r="E46" s="475">
        <v>118.28</v>
      </c>
      <c r="F46" s="502" t="s">
        <v>363</v>
      </c>
      <c r="G46" s="618">
        <v>118.28</v>
      </c>
      <c r="H46" s="590">
        <f t="shared" si="4"/>
        <v>0</v>
      </c>
    </row>
    <row r="47" spans="1:9" x14ac:dyDescent="0.25">
      <c r="A47" s="2"/>
      <c r="B47" s="724"/>
      <c r="C47" s="6" t="s">
        <v>566</v>
      </c>
      <c r="D47" s="8"/>
      <c r="E47" s="73">
        <v>2</v>
      </c>
      <c r="F47" s="7"/>
      <c r="G47" s="606">
        <v>2</v>
      </c>
      <c r="H47" s="590">
        <f t="shared" si="4"/>
        <v>0</v>
      </c>
    </row>
    <row r="48" spans="1:9" x14ac:dyDescent="0.25">
      <c r="A48" s="2"/>
      <c r="B48" s="724"/>
      <c r="C48" s="434" t="s">
        <v>402</v>
      </c>
      <c r="D48" s="435"/>
      <c r="E48" s="475">
        <f>E46*E47</f>
        <v>236.56</v>
      </c>
      <c r="F48" s="502" t="s">
        <v>363</v>
      </c>
      <c r="G48" s="618">
        <f>G46*G47</f>
        <v>236.56</v>
      </c>
      <c r="H48" s="590">
        <f t="shared" si="4"/>
        <v>0</v>
      </c>
    </row>
    <row r="49" spans="1:8" x14ac:dyDescent="0.25">
      <c r="A49" s="2"/>
      <c r="B49" s="724"/>
      <c r="C49" s="356" t="s">
        <v>567</v>
      </c>
      <c r="D49" s="439" t="str">
        <f>IF(E49&lt;E43,"suficiente","insuficiente")</f>
        <v>suficiente</v>
      </c>
      <c r="E49" s="474">
        <f>365*E31/(E47*E46)</f>
        <v>7.9760368345044999</v>
      </c>
      <c r="F49" s="504" t="s">
        <v>5</v>
      </c>
      <c r="G49" s="623">
        <f>365*G31/G48</f>
        <v>7.9760368345044999</v>
      </c>
      <c r="H49" s="590">
        <f t="shared" si="4"/>
        <v>0</v>
      </c>
    </row>
    <row r="50" spans="1:8" x14ac:dyDescent="0.25">
      <c r="A50" s="2"/>
      <c r="B50" s="724"/>
      <c r="C50" s="22" t="s">
        <v>561</v>
      </c>
      <c r="D50" s="8"/>
      <c r="E50" s="48"/>
      <c r="F50" s="7"/>
      <c r="G50" s="643"/>
      <c r="H50" s="581"/>
    </row>
    <row r="51" spans="1:8" x14ac:dyDescent="0.25">
      <c r="A51" s="2"/>
      <c r="B51" s="724"/>
      <c r="C51" s="6" t="s">
        <v>384</v>
      </c>
      <c r="D51" s="54"/>
      <c r="E51" s="60">
        <f>1000*E45*E43</f>
        <v>2200</v>
      </c>
      <c r="F51" s="7" t="s">
        <v>365</v>
      </c>
      <c r="G51" s="609">
        <f>1000*G45*G43</f>
        <v>2200</v>
      </c>
      <c r="H51" s="590">
        <f t="shared" ref="H51:H72" si="5">G51-E51</f>
        <v>0</v>
      </c>
    </row>
    <row r="52" spans="1:8" x14ac:dyDescent="0.25">
      <c r="A52" s="2"/>
      <c r="B52" s="724" t="s">
        <v>549</v>
      </c>
      <c r="C52" s="315" t="s">
        <v>366</v>
      </c>
      <c r="D52" s="85" t="s">
        <v>367</v>
      </c>
      <c r="E52" s="445">
        <v>0.35</v>
      </c>
      <c r="F52" s="464"/>
      <c r="G52" s="624">
        <v>0.35</v>
      </c>
      <c r="H52" s="590">
        <f t="shared" si="5"/>
        <v>0</v>
      </c>
    </row>
    <row r="53" spans="1:8" x14ac:dyDescent="0.25">
      <c r="A53" s="2"/>
      <c r="B53" s="724"/>
      <c r="C53" s="315" t="s">
        <v>368</v>
      </c>
      <c r="D53" s="85"/>
      <c r="E53" s="331">
        <f>(1-E52)*E51</f>
        <v>1430</v>
      </c>
      <c r="F53" s="464" t="s">
        <v>365</v>
      </c>
      <c r="G53" s="625">
        <f>(1-G52)*G51</f>
        <v>1430</v>
      </c>
      <c r="H53" s="590">
        <f t="shared" si="5"/>
        <v>0</v>
      </c>
    </row>
    <row r="54" spans="1:8" x14ac:dyDescent="0.25">
      <c r="A54" s="2"/>
      <c r="B54" s="724" t="s">
        <v>202</v>
      </c>
      <c r="C54" s="446" t="s">
        <v>369</v>
      </c>
      <c r="D54" s="447"/>
      <c r="E54" s="448">
        <v>2</v>
      </c>
      <c r="F54" s="505" t="s">
        <v>62</v>
      </c>
      <c r="G54" s="662">
        <v>2</v>
      </c>
      <c r="H54" s="590">
        <f t="shared" si="5"/>
        <v>0</v>
      </c>
    </row>
    <row r="55" spans="1:8" x14ac:dyDescent="0.25">
      <c r="A55" s="2"/>
      <c r="B55" s="724"/>
      <c r="C55" s="449"/>
      <c r="D55" s="450"/>
      <c r="E55" s="451">
        <f>E54*3.8/60</f>
        <v>0.12666666666666665</v>
      </c>
      <c r="F55" s="506" t="s">
        <v>1</v>
      </c>
      <c r="G55" s="623">
        <f>G54*3.8/60</f>
        <v>0.12666666666666665</v>
      </c>
      <c r="H55" s="590">
        <f t="shared" si="5"/>
        <v>0</v>
      </c>
    </row>
    <row r="56" spans="1:8" x14ac:dyDescent="0.25">
      <c r="A56" s="2"/>
      <c r="B56" s="722" t="s">
        <v>173</v>
      </c>
      <c r="C56" s="30" t="s">
        <v>370</v>
      </c>
      <c r="D56" s="452"/>
      <c r="E56" s="72">
        <v>0.25</v>
      </c>
      <c r="F56" s="507"/>
      <c r="G56" s="602">
        <v>0.25</v>
      </c>
      <c r="H56" s="590">
        <f t="shared" si="5"/>
        <v>0</v>
      </c>
    </row>
    <row r="57" spans="1:8" x14ac:dyDescent="0.25">
      <c r="A57" s="2"/>
      <c r="B57" s="724"/>
      <c r="C57" s="455" t="s">
        <v>371</v>
      </c>
      <c r="D57" s="456"/>
      <c r="E57" s="457">
        <f>E53/(E56*E55*3600)</f>
        <v>12.543859649122808</v>
      </c>
      <c r="F57" s="456" t="s">
        <v>10</v>
      </c>
      <c r="G57" s="125">
        <f>G53/(G56*G55*3600)</f>
        <v>12.543859649122808</v>
      </c>
      <c r="H57" s="590">
        <f t="shared" si="5"/>
        <v>0</v>
      </c>
    </row>
    <row r="58" spans="1:8" x14ac:dyDescent="0.25">
      <c r="A58" s="2"/>
      <c r="B58" s="724"/>
      <c r="C58" s="458"/>
      <c r="D58" s="459"/>
      <c r="E58" s="247">
        <f>E57/24</f>
        <v>0.52266081871345038</v>
      </c>
      <c r="F58" s="459" t="s">
        <v>33</v>
      </c>
      <c r="G58" s="626">
        <f>G57/24</f>
        <v>0.52266081871345038</v>
      </c>
      <c r="H58" s="590">
        <f t="shared" si="5"/>
        <v>0</v>
      </c>
    </row>
    <row r="59" spans="1:8" x14ac:dyDescent="0.25">
      <c r="A59" s="2"/>
      <c r="B59" s="724" t="s">
        <v>202</v>
      </c>
      <c r="C59" s="49" t="s">
        <v>373</v>
      </c>
      <c r="D59" s="444"/>
      <c r="E59" s="50">
        <v>2</v>
      </c>
      <c r="F59" s="17" t="s">
        <v>372</v>
      </c>
      <c r="G59" s="602">
        <v>2</v>
      </c>
      <c r="H59" s="590">
        <f t="shared" si="5"/>
        <v>0</v>
      </c>
    </row>
    <row r="60" spans="1:8" x14ac:dyDescent="0.25">
      <c r="A60" s="2"/>
      <c r="B60" s="724"/>
      <c r="C60" s="6" t="s">
        <v>385</v>
      </c>
      <c r="D60" s="8"/>
      <c r="E60" s="65">
        <v>0.8</v>
      </c>
      <c r="F60" s="7" t="s">
        <v>6</v>
      </c>
      <c r="G60" s="588">
        <v>0.8</v>
      </c>
      <c r="H60" s="590">
        <f t="shared" si="5"/>
        <v>0</v>
      </c>
    </row>
    <row r="61" spans="1:8" x14ac:dyDescent="0.25">
      <c r="A61" s="2"/>
      <c r="B61" s="707"/>
      <c r="C61" s="6" t="s">
        <v>386</v>
      </c>
      <c r="D61" s="54"/>
      <c r="E61" s="48">
        <f>E59+E60</f>
        <v>2.8</v>
      </c>
      <c r="F61" s="7" t="s">
        <v>372</v>
      </c>
      <c r="G61" s="602">
        <f>G59+G60</f>
        <v>2.8</v>
      </c>
      <c r="H61" s="590">
        <f t="shared" si="5"/>
        <v>0</v>
      </c>
    </row>
    <row r="62" spans="1:8" x14ac:dyDescent="0.25">
      <c r="A62" s="2"/>
      <c r="B62" s="724"/>
      <c r="C62" s="30" t="s">
        <v>374</v>
      </c>
      <c r="D62" s="452"/>
      <c r="E62" s="72">
        <v>0.25</v>
      </c>
      <c r="F62" s="507" t="s">
        <v>6</v>
      </c>
      <c r="G62" s="602">
        <v>0.25</v>
      </c>
      <c r="H62" s="590">
        <f t="shared" si="5"/>
        <v>0</v>
      </c>
    </row>
    <row r="63" spans="1:8" x14ac:dyDescent="0.25">
      <c r="A63" s="2"/>
      <c r="B63" s="723"/>
      <c r="C63" s="211" t="s">
        <v>375</v>
      </c>
      <c r="D63" s="212"/>
      <c r="E63" s="313">
        <f>E61/E62</f>
        <v>11.2</v>
      </c>
      <c r="F63" s="485"/>
      <c r="G63" s="602">
        <f>G61/G62</f>
        <v>11.2</v>
      </c>
      <c r="H63" s="590">
        <f t="shared" si="5"/>
        <v>0</v>
      </c>
    </row>
    <row r="64" spans="1:8" x14ac:dyDescent="0.25">
      <c r="A64" s="2"/>
      <c r="B64" s="723"/>
      <c r="C64" s="22" t="s">
        <v>573</v>
      </c>
      <c r="D64" s="8"/>
      <c r="E64" s="48"/>
      <c r="F64" s="7"/>
      <c r="G64" s="643"/>
      <c r="H64" s="581"/>
    </row>
    <row r="65" spans="1:8" x14ac:dyDescent="0.25">
      <c r="A65" s="2"/>
      <c r="B65" s="725" t="s">
        <v>376</v>
      </c>
      <c r="C65" s="446" t="s">
        <v>377</v>
      </c>
      <c r="D65" s="447"/>
      <c r="E65" s="448">
        <v>1.5</v>
      </c>
      <c r="F65" s="505" t="s">
        <v>378</v>
      </c>
      <c r="G65" s="662">
        <v>1.5</v>
      </c>
      <c r="H65" s="590">
        <f t="shared" si="5"/>
        <v>0</v>
      </c>
    </row>
    <row r="66" spans="1:8" x14ac:dyDescent="0.25">
      <c r="A66" s="2"/>
      <c r="B66" s="724"/>
      <c r="C66" s="453"/>
      <c r="D66" s="53"/>
      <c r="E66" s="454">
        <f>E65*1000</f>
        <v>1500</v>
      </c>
      <c r="F66" s="38" t="s">
        <v>13</v>
      </c>
      <c r="G66" s="627">
        <f>G65*1000</f>
        <v>1500</v>
      </c>
      <c r="H66" s="590">
        <f t="shared" si="5"/>
        <v>0</v>
      </c>
    </row>
    <row r="67" spans="1:8" x14ac:dyDescent="0.25">
      <c r="A67" s="2"/>
      <c r="B67" s="724"/>
      <c r="C67" s="35" t="s">
        <v>379</v>
      </c>
      <c r="D67" s="312"/>
      <c r="E67" s="74">
        <v>3</v>
      </c>
      <c r="F67" s="36" t="s">
        <v>51</v>
      </c>
      <c r="G67" s="602">
        <v>3</v>
      </c>
      <c r="H67" s="590">
        <f t="shared" si="5"/>
        <v>0</v>
      </c>
    </row>
    <row r="68" spans="1:8" x14ac:dyDescent="0.25">
      <c r="A68" s="2"/>
      <c r="B68" s="724"/>
      <c r="C68" s="191" t="s">
        <v>380</v>
      </c>
      <c r="D68" s="460"/>
      <c r="E68" s="102">
        <f>0.01*E67*E43</f>
        <v>0.32999999999999996</v>
      </c>
      <c r="F68" s="460" t="s">
        <v>4</v>
      </c>
      <c r="G68" s="589">
        <f>0.01*G67*G43</f>
        <v>0.32999999999999996</v>
      </c>
      <c r="H68" s="590">
        <f t="shared" si="5"/>
        <v>0</v>
      </c>
    </row>
    <row r="69" spans="1:8" x14ac:dyDescent="0.25">
      <c r="A69" s="2"/>
      <c r="B69" s="724"/>
      <c r="C69" s="191" t="s">
        <v>381</v>
      </c>
      <c r="D69" s="460"/>
      <c r="E69" s="461">
        <f>E66*E68</f>
        <v>494.99999999999994</v>
      </c>
      <c r="F69" s="460" t="s">
        <v>276</v>
      </c>
      <c r="G69" s="628">
        <f>G66*G68</f>
        <v>494.99999999999994</v>
      </c>
      <c r="H69" s="590">
        <f t="shared" si="5"/>
        <v>0</v>
      </c>
    </row>
    <row r="70" spans="1:8" x14ac:dyDescent="0.25">
      <c r="A70" s="2"/>
      <c r="B70" s="724"/>
      <c r="C70" s="6" t="s">
        <v>387</v>
      </c>
      <c r="D70" s="85"/>
      <c r="E70" s="331">
        <f>E39+E69</f>
        <v>531.18542168491138</v>
      </c>
      <c r="F70" s="464" t="s">
        <v>276</v>
      </c>
      <c r="G70" s="625">
        <f>G39+G69</f>
        <v>531.18542168491138</v>
      </c>
      <c r="H70" s="590">
        <f t="shared" si="5"/>
        <v>0</v>
      </c>
    </row>
    <row r="71" spans="1:8" x14ac:dyDescent="0.25">
      <c r="A71" s="2"/>
      <c r="B71" s="724"/>
      <c r="C71" s="315" t="s">
        <v>382</v>
      </c>
      <c r="D71" s="85"/>
      <c r="E71" s="331">
        <f>E70*(1-E52)</f>
        <v>345.2705240951924</v>
      </c>
      <c r="F71" s="464" t="s">
        <v>276</v>
      </c>
      <c r="G71" s="625">
        <f>G70*(1-G52)</f>
        <v>345.2705240951924</v>
      </c>
      <c r="H71" s="590">
        <f t="shared" si="5"/>
        <v>0</v>
      </c>
    </row>
    <row r="72" spans="1:8" x14ac:dyDescent="0.25">
      <c r="A72" s="2"/>
      <c r="B72" s="724"/>
      <c r="C72" s="156" t="s">
        <v>388</v>
      </c>
      <c r="D72" s="259"/>
      <c r="E72" s="473">
        <f>E39+E69+E71</f>
        <v>876.45594578010378</v>
      </c>
      <c r="F72" s="259" t="s">
        <v>276</v>
      </c>
      <c r="G72" s="629">
        <f>G39+G69+G71</f>
        <v>876.45594578010378</v>
      </c>
      <c r="H72" s="590">
        <f t="shared" si="5"/>
        <v>0</v>
      </c>
    </row>
  </sheetData>
  <mergeCells count="1">
    <mergeCell ref="C2:F2"/>
  </mergeCells>
  <hyperlinks>
    <hyperlink ref="B65" r:id="rId1" xr:uid="{689B650C-DCF3-460D-86E0-07FBDCEBDBE3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0348-1CDC-4765-BC7C-D880ED90BF4E}">
  <dimension ref="A1:C10"/>
  <sheetViews>
    <sheetView showGridLines="0" workbookViewId="0">
      <selection activeCell="A14" sqref="A14"/>
    </sheetView>
  </sheetViews>
  <sheetFormatPr baseColWidth="10" defaultRowHeight="15" x14ac:dyDescent="0.25"/>
  <cols>
    <col min="1" max="1" width="17.28515625" customWidth="1"/>
    <col min="2" max="2" width="15" customWidth="1"/>
    <col min="3" max="3" width="20" customWidth="1"/>
  </cols>
  <sheetData>
    <row r="1" spans="1:3" ht="45.75" customHeight="1" x14ac:dyDescent="0.25">
      <c r="A1" s="757" t="s">
        <v>210</v>
      </c>
      <c r="B1" s="758"/>
      <c r="C1" s="758"/>
    </row>
    <row r="2" spans="1:3" ht="42.75" x14ac:dyDescent="0.25">
      <c r="A2" s="292" t="s">
        <v>109</v>
      </c>
      <c r="B2" s="292" t="s">
        <v>211</v>
      </c>
      <c r="C2" s="292" t="s">
        <v>212</v>
      </c>
    </row>
    <row r="3" spans="1:3" ht="18.75" x14ac:dyDescent="0.25">
      <c r="A3" s="293" t="s">
        <v>8</v>
      </c>
      <c r="B3" s="293" t="s">
        <v>213</v>
      </c>
      <c r="C3" s="293" t="s">
        <v>214</v>
      </c>
    </row>
    <row r="4" spans="1:3" x14ac:dyDescent="0.25">
      <c r="A4" s="66">
        <v>1</v>
      </c>
      <c r="B4" s="87" t="s">
        <v>215</v>
      </c>
      <c r="C4" s="66">
        <v>1</v>
      </c>
    </row>
    <row r="5" spans="1:3" x14ac:dyDescent="0.25">
      <c r="A5" s="66">
        <v>2</v>
      </c>
      <c r="B5" s="66">
        <v>0.61</v>
      </c>
      <c r="C5" s="66">
        <v>1</v>
      </c>
    </row>
    <row r="6" spans="1:3" x14ac:dyDescent="0.25">
      <c r="A6" s="66">
        <v>3</v>
      </c>
      <c r="B6" s="66">
        <v>0.88</v>
      </c>
      <c r="C6" s="66">
        <v>1.6</v>
      </c>
    </row>
    <row r="7" spans="1:3" x14ac:dyDescent="0.25">
      <c r="A7" s="66">
        <v>4</v>
      </c>
      <c r="B7" s="66">
        <v>1.03</v>
      </c>
      <c r="C7" s="66">
        <v>2.2000000000000002</v>
      </c>
    </row>
    <row r="8" spans="1:3" x14ac:dyDescent="0.25">
      <c r="A8" s="66">
        <v>5</v>
      </c>
      <c r="B8" s="66">
        <v>1.23</v>
      </c>
      <c r="C8" s="66">
        <v>3</v>
      </c>
    </row>
    <row r="9" spans="1:3" x14ac:dyDescent="0.25">
      <c r="A9" s="66">
        <v>6</v>
      </c>
      <c r="B9" s="66">
        <v>1.41</v>
      </c>
      <c r="C9" s="66">
        <v>3.6</v>
      </c>
    </row>
    <row r="10" spans="1:3" ht="36.75" customHeight="1" x14ac:dyDescent="0.25">
      <c r="A10" s="759" t="s">
        <v>545</v>
      </c>
      <c r="B10" s="760"/>
      <c r="C10" s="760"/>
    </row>
  </sheetData>
  <mergeCells count="2">
    <mergeCell ref="A1:C1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FAE0-D530-4796-8569-AC4F8A3D715A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153" customWidth="1"/>
    <col min="7" max="8" width="13" customWidth="1"/>
    <col min="9" max="9" width="13.28515625" customWidth="1"/>
  </cols>
  <sheetData>
    <row r="3" spans="2:9" ht="28.5" customHeight="1" x14ac:dyDescent="0.25">
      <c r="B3" s="294" t="s">
        <v>216</v>
      </c>
      <c r="C3" s="294" t="s">
        <v>217</v>
      </c>
      <c r="D3" s="294" t="s">
        <v>218</v>
      </c>
      <c r="E3" s="294" t="s">
        <v>219</v>
      </c>
      <c r="F3" s="294" t="s">
        <v>220</v>
      </c>
      <c r="G3" s="770" t="s">
        <v>221</v>
      </c>
      <c r="H3" s="771"/>
      <c r="I3" s="772"/>
    </row>
    <row r="4" spans="2:9" x14ac:dyDescent="0.25">
      <c r="B4" s="773" t="s">
        <v>222</v>
      </c>
      <c r="C4" s="773" t="s">
        <v>30</v>
      </c>
      <c r="D4" s="773" t="s">
        <v>501</v>
      </c>
      <c r="E4" s="773" t="s">
        <v>502</v>
      </c>
      <c r="F4" s="773" t="s">
        <v>23</v>
      </c>
      <c r="G4" s="770" t="s">
        <v>223</v>
      </c>
      <c r="H4" s="775"/>
      <c r="I4" s="772"/>
    </row>
    <row r="5" spans="2:9" x14ac:dyDescent="0.25">
      <c r="B5" s="774"/>
      <c r="C5" s="774"/>
      <c r="D5" s="774"/>
      <c r="E5" s="774"/>
      <c r="F5" s="774"/>
      <c r="G5" s="509">
        <v>0</v>
      </c>
      <c r="H5" s="509">
        <v>5</v>
      </c>
      <c r="I5" s="509">
        <v>10</v>
      </c>
    </row>
    <row r="6" spans="2:9" x14ac:dyDescent="0.25">
      <c r="B6" s="295">
        <v>0</v>
      </c>
      <c r="C6" s="296">
        <v>999.82</v>
      </c>
      <c r="D6" s="297">
        <v>1.792E-3</v>
      </c>
      <c r="E6" s="298">
        <f>D6/C6</f>
        <v>1.7923226180712527E-6</v>
      </c>
      <c r="F6" s="296">
        <v>0.61099999999999999</v>
      </c>
      <c r="G6" s="296">
        <v>14.6</v>
      </c>
      <c r="H6" s="296">
        <v>14.11</v>
      </c>
      <c r="I6" s="296">
        <v>13.64</v>
      </c>
    </row>
    <row r="7" spans="2:9" x14ac:dyDescent="0.25">
      <c r="B7" s="295">
        <f>B6+1</f>
        <v>1</v>
      </c>
      <c r="C7" s="296">
        <v>999.89</v>
      </c>
      <c r="D7" s="297">
        <v>1.7309999999999999E-3</v>
      </c>
      <c r="E7" s="298">
        <f t="shared" ref="E7:E46" si="0">D7/C7</f>
        <v>1.7311904309474041E-6</v>
      </c>
      <c r="F7" s="296">
        <v>0.65700000000000003</v>
      </c>
      <c r="G7" s="296">
        <v>14.2</v>
      </c>
      <c r="H7" s="296">
        <v>13.73</v>
      </c>
      <c r="I7" s="296">
        <v>13.27</v>
      </c>
    </row>
    <row r="8" spans="2:9" x14ac:dyDescent="0.25">
      <c r="B8" s="295">
        <f t="shared" ref="B8:B46" si="1">B7+1</f>
        <v>2</v>
      </c>
      <c r="C8" s="296">
        <v>999.94</v>
      </c>
      <c r="D8" s="297">
        <v>1.6739999999999999E-3</v>
      </c>
      <c r="E8" s="298">
        <f t="shared" si="0"/>
        <v>1.6741004460267615E-6</v>
      </c>
      <c r="F8" s="296">
        <v>0.70499999999999996</v>
      </c>
      <c r="G8" s="296">
        <v>13.81</v>
      </c>
      <c r="H8" s="296">
        <v>13.36</v>
      </c>
      <c r="I8" s="296">
        <v>12.91</v>
      </c>
    </row>
    <row r="9" spans="2:9" x14ac:dyDescent="0.25">
      <c r="B9" s="295">
        <f t="shared" si="1"/>
        <v>3</v>
      </c>
      <c r="C9" s="296">
        <v>999.98</v>
      </c>
      <c r="D9" s="297">
        <v>1.6199999999999999E-3</v>
      </c>
      <c r="E9" s="298">
        <f t="shared" si="0"/>
        <v>1.6200324006480128E-6</v>
      </c>
      <c r="F9" s="296">
        <v>0.75700000000000001</v>
      </c>
      <c r="G9" s="296">
        <v>13.45</v>
      </c>
      <c r="H9" s="296">
        <v>13</v>
      </c>
      <c r="I9" s="296">
        <v>12.58</v>
      </c>
    </row>
    <row r="10" spans="2:9" x14ac:dyDescent="0.25">
      <c r="B10" s="295">
        <f t="shared" si="1"/>
        <v>4</v>
      </c>
      <c r="C10" s="296">
        <v>1000</v>
      </c>
      <c r="D10" s="297">
        <v>1.5690000000000001E-3</v>
      </c>
      <c r="E10" s="298">
        <f t="shared" si="0"/>
        <v>1.5690000000000001E-6</v>
      </c>
      <c r="F10" s="296">
        <v>0.81299999999999994</v>
      </c>
      <c r="G10" s="296">
        <v>13.09</v>
      </c>
      <c r="H10" s="296">
        <v>12.67</v>
      </c>
      <c r="I10" s="296">
        <v>12.25</v>
      </c>
    </row>
    <row r="11" spans="2:9" x14ac:dyDescent="0.25">
      <c r="B11" s="295">
        <f t="shared" si="1"/>
        <v>5</v>
      </c>
      <c r="C11" s="296">
        <v>1000</v>
      </c>
      <c r="D11" s="297">
        <v>1.5200000000000001E-3</v>
      </c>
      <c r="E11" s="298">
        <f t="shared" si="0"/>
        <v>1.5200000000000001E-6</v>
      </c>
      <c r="F11" s="296">
        <v>0.872</v>
      </c>
      <c r="G11" s="296">
        <v>12.76</v>
      </c>
      <c r="H11" s="296">
        <v>12.34</v>
      </c>
      <c r="I11" s="296">
        <v>11.94</v>
      </c>
    </row>
    <row r="12" spans="2:9" x14ac:dyDescent="0.25">
      <c r="B12" s="295">
        <f t="shared" si="1"/>
        <v>6</v>
      </c>
      <c r="C12" s="296">
        <v>999.99</v>
      </c>
      <c r="D12" s="297">
        <v>1.4729999999999999E-3</v>
      </c>
      <c r="E12" s="298">
        <f t="shared" si="0"/>
        <v>1.4730147301473013E-6</v>
      </c>
      <c r="F12" s="296">
        <v>0.93500000000000005</v>
      </c>
      <c r="G12" s="296">
        <v>12.44</v>
      </c>
      <c r="H12" s="296">
        <v>12.04</v>
      </c>
      <c r="I12" s="296">
        <v>11.65</v>
      </c>
    </row>
    <row r="13" spans="2:9" x14ac:dyDescent="0.25">
      <c r="B13" s="295">
        <f t="shared" si="1"/>
        <v>7</v>
      </c>
      <c r="C13" s="296">
        <v>999.96</v>
      </c>
      <c r="D13" s="297">
        <v>1.4289999999999999E-3</v>
      </c>
      <c r="E13" s="298">
        <f t="shared" si="0"/>
        <v>1.4290571622864914E-6</v>
      </c>
      <c r="F13" s="296">
        <v>1.0009999999999999</v>
      </c>
      <c r="G13" s="296">
        <v>12.13</v>
      </c>
      <c r="H13" s="296">
        <v>11.74</v>
      </c>
      <c r="I13" s="296">
        <v>11.37</v>
      </c>
    </row>
    <row r="14" spans="2:9" x14ac:dyDescent="0.25">
      <c r="B14" s="295">
        <f t="shared" si="1"/>
        <v>8</v>
      </c>
      <c r="C14" s="296">
        <v>999.91</v>
      </c>
      <c r="D14" s="297">
        <v>1.3860000000000001E-3</v>
      </c>
      <c r="E14" s="298">
        <f t="shared" si="0"/>
        <v>1.3861247512276105E-6</v>
      </c>
      <c r="F14" s="296">
        <v>1.0720000000000001</v>
      </c>
      <c r="G14" s="296">
        <v>11.83</v>
      </c>
      <c r="H14" s="296">
        <v>11.46</v>
      </c>
      <c r="I14" s="296">
        <v>11.09</v>
      </c>
    </row>
    <row r="15" spans="2:9" x14ac:dyDescent="0.25">
      <c r="B15" s="295">
        <f t="shared" si="1"/>
        <v>9</v>
      </c>
      <c r="C15" s="296">
        <v>999.85</v>
      </c>
      <c r="D15" s="297">
        <v>1.346E-3</v>
      </c>
      <c r="E15" s="298">
        <f t="shared" si="0"/>
        <v>1.3462019302895433E-6</v>
      </c>
      <c r="F15" s="296">
        <v>1.147</v>
      </c>
      <c r="G15" s="296">
        <v>11.55</v>
      </c>
      <c r="H15" s="296">
        <v>11.19</v>
      </c>
      <c r="I15" s="296">
        <v>10.83</v>
      </c>
    </row>
    <row r="16" spans="2:9" x14ac:dyDescent="0.25">
      <c r="B16" s="295">
        <f t="shared" si="1"/>
        <v>10</v>
      </c>
      <c r="C16" s="296">
        <v>999.77</v>
      </c>
      <c r="D16" s="297">
        <v>1.3079999999999999E-3</v>
      </c>
      <c r="E16" s="298">
        <f t="shared" si="0"/>
        <v>1.3083009092091181E-6</v>
      </c>
      <c r="F16" s="296">
        <v>1.2270000000000001</v>
      </c>
      <c r="G16" s="296">
        <v>11.28</v>
      </c>
      <c r="H16" s="296">
        <v>10.92</v>
      </c>
      <c r="I16" s="296">
        <v>10.58</v>
      </c>
    </row>
    <row r="17" spans="2:9" x14ac:dyDescent="0.25">
      <c r="B17" s="295">
        <f t="shared" si="1"/>
        <v>11</v>
      </c>
      <c r="C17" s="296">
        <v>999.68</v>
      </c>
      <c r="D17" s="297">
        <v>1.271E-3</v>
      </c>
      <c r="E17" s="298">
        <f t="shared" si="0"/>
        <v>1.2714068501920614E-6</v>
      </c>
      <c r="F17" s="296">
        <v>1.3120000000000001</v>
      </c>
      <c r="G17" s="296">
        <v>11.02</v>
      </c>
      <c r="H17" s="296">
        <v>10.67</v>
      </c>
      <c r="I17" s="296">
        <v>10.34</v>
      </c>
    </row>
    <row r="18" spans="2:9" x14ac:dyDescent="0.25">
      <c r="B18" s="295">
        <f t="shared" si="1"/>
        <v>12</v>
      </c>
      <c r="C18" s="296">
        <v>999.58</v>
      </c>
      <c r="D18" s="297">
        <v>1.2359999999999999E-3</v>
      </c>
      <c r="E18" s="298">
        <f t="shared" si="0"/>
        <v>1.2365193381220111E-6</v>
      </c>
      <c r="F18" s="296">
        <v>1.4019999999999999</v>
      </c>
      <c r="G18" s="296">
        <v>10.77</v>
      </c>
      <c r="H18" s="296">
        <v>10.43</v>
      </c>
      <c r="I18" s="296">
        <v>10.11</v>
      </c>
    </row>
    <row r="19" spans="2:9" x14ac:dyDescent="0.25">
      <c r="B19" s="295">
        <f t="shared" si="1"/>
        <v>13</v>
      </c>
      <c r="C19" s="296">
        <v>999.46</v>
      </c>
      <c r="D19" s="297">
        <v>1.2019999999999999E-3</v>
      </c>
      <c r="E19" s="298">
        <f t="shared" si="0"/>
        <v>1.2026494306925738E-6</v>
      </c>
      <c r="F19" s="296">
        <v>1.4970000000000001</v>
      </c>
      <c r="G19" s="296">
        <v>10.53</v>
      </c>
      <c r="H19" s="296">
        <v>10.199999999999999</v>
      </c>
      <c r="I19" s="296">
        <v>9.89</v>
      </c>
    </row>
    <row r="20" spans="2:9" x14ac:dyDescent="0.25">
      <c r="B20" s="295">
        <f t="shared" si="1"/>
        <v>14</v>
      </c>
      <c r="C20" s="296">
        <v>999.33</v>
      </c>
      <c r="D20" s="297">
        <v>1.17E-3</v>
      </c>
      <c r="E20" s="298">
        <f t="shared" si="0"/>
        <v>1.1707844255651285E-6</v>
      </c>
      <c r="F20" s="296">
        <v>1.597</v>
      </c>
      <c r="G20" s="296">
        <v>10.29</v>
      </c>
      <c r="H20" s="296">
        <v>9.98</v>
      </c>
      <c r="I20" s="296">
        <v>9.68</v>
      </c>
    </row>
    <row r="21" spans="2:9" x14ac:dyDescent="0.25">
      <c r="B21" s="295">
        <f t="shared" si="1"/>
        <v>15</v>
      </c>
      <c r="C21" s="296">
        <v>999.19</v>
      </c>
      <c r="D21" s="297">
        <v>1.139E-3</v>
      </c>
      <c r="E21" s="298">
        <f t="shared" si="0"/>
        <v>1.1399233379037019E-6</v>
      </c>
      <c r="F21" s="296">
        <v>1.704</v>
      </c>
      <c r="G21" s="296">
        <v>10.07</v>
      </c>
      <c r="H21" s="296">
        <v>9.77</v>
      </c>
      <c r="I21" s="296">
        <v>9.4700000000000006</v>
      </c>
    </row>
    <row r="22" spans="2:9" x14ac:dyDescent="0.25">
      <c r="B22" s="295">
        <f t="shared" si="1"/>
        <v>16</v>
      </c>
      <c r="C22" s="296">
        <v>999.03</v>
      </c>
      <c r="D22" s="297">
        <v>1.109E-3</v>
      </c>
      <c r="E22" s="298">
        <f t="shared" si="0"/>
        <v>1.110076774471237E-6</v>
      </c>
      <c r="F22" s="296">
        <v>1.8169999999999999</v>
      </c>
      <c r="G22" s="296">
        <v>9.86</v>
      </c>
      <c r="H22" s="296">
        <v>9.56</v>
      </c>
      <c r="I22" s="296">
        <v>9.2799999999999994</v>
      </c>
    </row>
    <row r="23" spans="2:9" x14ac:dyDescent="0.25">
      <c r="B23" s="295">
        <f t="shared" si="1"/>
        <v>17</v>
      </c>
      <c r="C23" s="296">
        <v>998.86</v>
      </c>
      <c r="D23" s="297">
        <v>1.0809999999999999E-3</v>
      </c>
      <c r="E23" s="298">
        <f t="shared" si="0"/>
        <v>1.0822337464709768E-6</v>
      </c>
      <c r="F23" s="296">
        <v>1.9359999999999999</v>
      </c>
      <c r="G23" s="296">
        <v>9.65</v>
      </c>
      <c r="H23" s="296">
        <v>9.36</v>
      </c>
      <c r="I23" s="296">
        <v>9.09</v>
      </c>
    </row>
    <row r="24" spans="2:9" x14ac:dyDescent="0.25">
      <c r="B24" s="295">
        <f t="shared" si="1"/>
        <v>18</v>
      </c>
      <c r="C24" s="296">
        <v>998.68</v>
      </c>
      <c r="D24" s="297">
        <v>1.054E-3</v>
      </c>
      <c r="E24" s="298">
        <f t="shared" si="0"/>
        <v>1.0553931189169705E-6</v>
      </c>
      <c r="F24" s="296">
        <v>2.0630000000000002</v>
      </c>
      <c r="G24" s="296">
        <v>9.4499999999999993</v>
      </c>
      <c r="H24" s="296">
        <v>9.17</v>
      </c>
      <c r="I24" s="296">
        <v>8.9</v>
      </c>
    </row>
    <row r="25" spans="2:9" x14ac:dyDescent="0.25">
      <c r="B25" s="295">
        <f t="shared" si="1"/>
        <v>19</v>
      </c>
      <c r="C25" s="296">
        <v>998.49</v>
      </c>
      <c r="D25" s="297">
        <v>1.0280000000000001E-3</v>
      </c>
      <c r="E25" s="298">
        <f t="shared" si="0"/>
        <v>1.0295546274875061E-6</v>
      </c>
      <c r="F25" s="296">
        <v>2.1960000000000002</v>
      </c>
      <c r="G25" s="296">
        <v>9.26</v>
      </c>
      <c r="H25" s="296">
        <v>8.99</v>
      </c>
      <c r="I25" s="296">
        <v>8.73</v>
      </c>
    </row>
    <row r="26" spans="2:9" x14ac:dyDescent="0.25">
      <c r="B26" s="295">
        <f t="shared" si="1"/>
        <v>20</v>
      </c>
      <c r="C26" s="296">
        <v>998.29</v>
      </c>
      <c r="D26" s="297">
        <v>1.003E-3</v>
      </c>
      <c r="E26" s="298">
        <f t="shared" si="0"/>
        <v>1.0047180678961023E-6</v>
      </c>
      <c r="F26" s="296">
        <v>2.3370000000000002</v>
      </c>
      <c r="G26" s="296">
        <v>9.08</v>
      </c>
      <c r="H26" s="296">
        <v>8.81</v>
      </c>
      <c r="I26" s="296">
        <v>8.56</v>
      </c>
    </row>
    <row r="27" spans="2:9" x14ac:dyDescent="0.25">
      <c r="B27" s="295">
        <f t="shared" si="1"/>
        <v>21</v>
      </c>
      <c r="C27" s="296">
        <v>998.08</v>
      </c>
      <c r="D27" s="297">
        <v>9.7900000000000005E-4</v>
      </c>
      <c r="E27" s="298">
        <f t="shared" si="0"/>
        <v>9.8088329592818217E-7</v>
      </c>
      <c r="F27" s="296">
        <v>2.4860000000000002</v>
      </c>
      <c r="G27" s="296">
        <v>8.9</v>
      </c>
      <c r="H27" s="296">
        <v>8.64</v>
      </c>
      <c r="I27" s="296">
        <v>8.39</v>
      </c>
    </row>
    <row r="28" spans="2:9" x14ac:dyDescent="0.25">
      <c r="B28" s="295">
        <f t="shared" si="1"/>
        <v>22</v>
      </c>
      <c r="C28" s="296">
        <v>997.86</v>
      </c>
      <c r="D28" s="297">
        <v>9.5500000000000001E-4</v>
      </c>
      <c r="E28" s="298">
        <f t="shared" si="0"/>
        <v>9.5704808289740053E-7</v>
      </c>
      <c r="F28" s="296">
        <v>2.6419999999999999</v>
      </c>
      <c r="G28" s="296">
        <v>8.73</v>
      </c>
      <c r="H28" s="296">
        <v>8.48</v>
      </c>
      <c r="I28" s="296">
        <v>8.23</v>
      </c>
    </row>
    <row r="29" spans="2:9" x14ac:dyDescent="0.25">
      <c r="B29" s="295">
        <f t="shared" si="1"/>
        <v>23</v>
      </c>
      <c r="C29" s="296">
        <v>997.62</v>
      </c>
      <c r="D29" s="297">
        <v>9.3300000000000002E-4</v>
      </c>
      <c r="E29" s="298">
        <f t="shared" si="0"/>
        <v>9.3522583749323393E-7</v>
      </c>
      <c r="F29" s="296">
        <v>2.8079999999999998</v>
      </c>
      <c r="G29" s="296">
        <v>8.56</v>
      </c>
      <c r="H29" s="296">
        <v>8.32</v>
      </c>
      <c r="I29" s="296">
        <v>8.08</v>
      </c>
    </row>
    <row r="30" spans="2:9" x14ac:dyDescent="0.25">
      <c r="B30" s="295">
        <f t="shared" si="1"/>
        <v>24</v>
      </c>
      <c r="C30" s="296">
        <v>997.38</v>
      </c>
      <c r="D30" s="297">
        <v>9.1100000000000003E-4</v>
      </c>
      <c r="E30" s="298">
        <f t="shared" si="0"/>
        <v>9.1339308989552636E-7</v>
      </c>
      <c r="F30" s="296">
        <v>2.9820000000000002</v>
      </c>
      <c r="G30" s="296">
        <v>8.4</v>
      </c>
      <c r="H30" s="296">
        <v>8.16</v>
      </c>
      <c r="I30" s="296">
        <v>7.93</v>
      </c>
    </row>
    <row r="31" spans="2:9" x14ac:dyDescent="0.25">
      <c r="B31" s="295">
        <f t="shared" si="1"/>
        <v>25</v>
      </c>
      <c r="C31" s="296">
        <v>997.13</v>
      </c>
      <c r="D31" s="297">
        <v>8.9099999999999997E-4</v>
      </c>
      <c r="E31" s="298">
        <f t="shared" si="0"/>
        <v>8.9356453020167885E-7</v>
      </c>
      <c r="F31" s="296">
        <v>3.1659999999999999</v>
      </c>
      <c r="G31" s="296">
        <v>8.24</v>
      </c>
      <c r="H31" s="296">
        <v>8.01</v>
      </c>
      <c r="I31" s="296">
        <v>7.79</v>
      </c>
    </row>
    <row r="32" spans="2:9" x14ac:dyDescent="0.25">
      <c r="B32" s="295">
        <f t="shared" si="1"/>
        <v>26</v>
      </c>
      <c r="C32" s="296">
        <v>996.86</v>
      </c>
      <c r="D32" s="297">
        <v>8.7100000000000003E-4</v>
      </c>
      <c r="E32" s="298">
        <f t="shared" si="0"/>
        <v>8.7374355476195253E-7</v>
      </c>
      <c r="F32" s="296">
        <v>3.36</v>
      </c>
      <c r="G32" s="296">
        <v>8.09</v>
      </c>
      <c r="H32" s="296">
        <v>7.87</v>
      </c>
      <c r="I32" s="296">
        <v>7.65</v>
      </c>
    </row>
    <row r="33" spans="2:9" x14ac:dyDescent="0.25">
      <c r="B33" s="295">
        <f t="shared" si="1"/>
        <v>27</v>
      </c>
      <c r="C33" s="296">
        <v>996.59</v>
      </c>
      <c r="D33" s="297">
        <v>8.52E-4</v>
      </c>
      <c r="E33" s="298">
        <f t="shared" si="0"/>
        <v>8.5491526104014687E-7</v>
      </c>
      <c r="F33" s="296">
        <v>3.5640000000000001</v>
      </c>
      <c r="G33" s="296">
        <v>7.95</v>
      </c>
      <c r="H33" s="296">
        <v>7.73</v>
      </c>
      <c r="I33" s="296">
        <v>7.51</v>
      </c>
    </row>
    <row r="34" spans="2:9" x14ac:dyDescent="0.25">
      <c r="B34" s="295">
        <f t="shared" si="1"/>
        <v>28</v>
      </c>
      <c r="C34" s="296">
        <v>996.31</v>
      </c>
      <c r="D34" s="297">
        <v>8.3299999999999997E-4</v>
      </c>
      <c r="E34" s="298">
        <f t="shared" si="0"/>
        <v>8.3608515421906841E-7</v>
      </c>
      <c r="F34" s="296">
        <v>3.7789999999999999</v>
      </c>
      <c r="G34" s="296">
        <v>7.81</v>
      </c>
      <c r="H34" s="296">
        <v>7.59</v>
      </c>
      <c r="I34" s="296">
        <v>7.38</v>
      </c>
    </row>
    <row r="35" spans="2:9" x14ac:dyDescent="0.25">
      <c r="B35" s="295">
        <f t="shared" si="1"/>
        <v>29</v>
      </c>
      <c r="C35" s="296">
        <v>996.02</v>
      </c>
      <c r="D35" s="297">
        <v>8.1499999999999997E-4</v>
      </c>
      <c r="E35" s="298">
        <f t="shared" si="0"/>
        <v>8.1825666151282104E-7</v>
      </c>
      <c r="F35" s="296">
        <v>4.0039999999999996</v>
      </c>
      <c r="G35" s="296">
        <v>7.67</v>
      </c>
      <c r="H35" s="296">
        <v>7.46</v>
      </c>
      <c r="I35" s="296">
        <v>7.26</v>
      </c>
    </row>
    <row r="36" spans="2:9" x14ac:dyDescent="0.25">
      <c r="B36" s="295">
        <f t="shared" si="1"/>
        <v>30</v>
      </c>
      <c r="C36" s="296">
        <v>995.71</v>
      </c>
      <c r="D36" s="297">
        <v>7.9799999999999999E-4</v>
      </c>
      <c r="E36" s="298">
        <f t="shared" si="0"/>
        <v>8.0143816974821981E-7</v>
      </c>
      <c r="F36" s="296">
        <v>4.242</v>
      </c>
      <c r="G36" s="296">
        <v>7.54</v>
      </c>
      <c r="H36" s="296">
        <v>7.33</v>
      </c>
      <c r="I36" s="296">
        <v>7.14</v>
      </c>
    </row>
    <row r="37" spans="2:9" x14ac:dyDescent="0.25">
      <c r="B37" s="295">
        <f t="shared" si="1"/>
        <v>31</v>
      </c>
      <c r="C37" s="296">
        <v>995.41</v>
      </c>
      <c r="D37" s="297">
        <v>7.8100000000000001E-4</v>
      </c>
      <c r="E37" s="298">
        <f t="shared" si="0"/>
        <v>7.8460132005907112E-7</v>
      </c>
      <c r="F37" s="296">
        <v>4.4909999999999997</v>
      </c>
      <c r="G37" s="296">
        <v>7.41</v>
      </c>
      <c r="H37" s="296">
        <v>7.21</v>
      </c>
      <c r="I37" s="296">
        <v>7.02</v>
      </c>
    </row>
    <row r="38" spans="2:9" x14ac:dyDescent="0.25">
      <c r="B38" s="295">
        <f t="shared" si="1"/>
        <v>32</v>
      </c>
      <c r="C38" s="296">
        <v>995.09</v>
      </c>
      <c r="D38" s="297">
        <v>7.6499999999999995E-4</v>
      </c>
      <c r="E38" s="298">
        <f t="shared" si="0"/>
        <v>7.6877468369695196E-7</v>
      </c>
      <c r="F38" s="296">
        <v>4.7539999999999996</v>
      </c>
      <c r="G38" s="296">
        <v>7.29</v>
      </c>
      <c r="H38" s="296">
        <v>7.09</v>
      </c>
      <c r="I38" s="296">
        <v>6.9</v>
      </c>
    </row>
    <row r="39" spans="2:9" x14ac:dyDescent="0.25">
      <c r="B39" s="295">
        <f t="shared" si="1"/>
        <v>33</v>
      </c>
      <c r="C39" s="296">
        <v>994.76</v>
      </c>
      <c r="D39" s="297">
        <v>7.4899999999999999E-4</v>
      </c>
      <c r="E39" s="298">
        <f t="shared" si="0"/>
        <v>7.5294543407455063E-7</v>
      </c>
      <c r="F39" s="296">
        <v>5.0289999999999999</v>
      </c>
      <c r="G39" s="296">
        <v>7.17</v>
      </c>
      <c r="H39" s="296">
        <v>6.98</v>
      </c>
      <c r="I39" s="296">
        <v>6.79</v>
      </c>
    </row>
    <row r="40" spans="2:9" x14ac:dyDescent="0.25">
      <c r="B40" s="295">
        <f t="shared" si="1"/>
        <v>34</v>
      </c>
      <c r="C40" s="296">
        <v>994.43</v>
      </c>
      <c r="D40" s="297">
        <v>7.3399999999999995E-4</v>
      </c>
      <c r="E40" s="298">
        <f t="shared" si="0"/>
        <v>7.3811127982864557E-7</v>
      </c>
      <c r="F40" s="296">
        <v>5.3179999999999996</v>
      </c>
      <c r="G40" s="296">
        <v>7.05</v>
      </c>
      <c r="H40" s="296">
        <v>6.86</v>
      </c>
      <c r="I40" s="296">
        <v>6.68</v>
      </c>
    </row>
    <row r="41" spans="2:9" x14ac:dyDescent="0.25">
      <c r="B41" s="295">
        <f t="shared" si="1"/>
        <v>35</v>
      </c>
      <c r="C41" s="296">
        <v>994.08</v>
      </c>
      <c r="D41" s="297">
        <v>7.2000000000000005E-4</v>
      </c>
      <c r="E41" s="298">
        <f t="shared" si="0"/>
        <v>7.2428778367938198E-7</v>
      </c>
      <c r="F41" s="296">
        <v>5.6219999999999999</v>
      </c>
      <c r="G41" s="296">
        <v>6.93</v>
      </c>
      <c r="H41" s="296">
        <v>6.75</v>
      </c>
      <c r="I41" s="296">
        <v>6.58</v>
      </c>
    </row>
    <row r="42" spans="2:9" x14ac:dyDescent="0.25">
      <c r="B42" s="295">
        <f t="shared" si="1"/>
        <v>36</v>
      </c>
      <c r="C42" s="296">
        <v>993.73</v>
      </c>
      <c r="D42" s="297">
        <v>7.0500000000000001E-4</v>
      </c>
      <c r="E42" s="298">
        <f t="shared" si="0"/>
        <v>7.0944824046773266E-7</v>
      </c>
      <c r="F42" s="296">
        <v>5.94</v>
      </c>
      <c r="G42" s="296">
        <v>6.82</v>
      </c>
      <c r="H42" s="296">
        <v>6.65</v>
      </c>
      <c r="I42" s="296">
        <v>6.47</v>
      </c>
    </row>
    <row r="43" spans="2:9" x14ac:dyDescent="0.25">
      <c r="B43" s="295">
        <f t="shared" si="1"/>
        <v>37</v>
      </c>
      <c r="C43" s="296">
        <v>993.37</v>
      </c>
      <c r="D43" s="297">
        <v>6.9200000000000002E-4</v>
      </c>
      <c r="E43" s="298">
        <f t="shared" si="0"/>
        <v>6.9661858119331165E-7</v>
      </c>
      <c r="F43" s="296">
        <v>6.274</v>
      </c>
      <c r="G43" s="296">
        <v>6.72</v>
      </c>
      <c r="H43" s="296">
        <v>6.54</v>
      </c>
      <c r="I43" s="296">
        <v>6.37</v>
      </c>
    </row>
    <row r="44" spans="2:9" x14ac:dyDescent="0.25">
      <c r="B44" s="295">
        <f t="shared" si="1"/>
        <v>38</v>
      </c>
      <c r="C44" s="296">
        <v>993</v>
      </c>
      <c r="D44" s="297">
        <v>6.78E-4</v>
      </c>
      <c r="E44" s="298">
        <f t="shared" si="0"/>
        <v>6.8277945619335344E-7</v>
      </c>
      <c r="F44" s="296">
        <v>6.6239999999999997</v>
      </c>
      <c r="G44" s="296">
        <v>6.61</v>
      </c>
      <c r="H44" s="296">
        <v>6.44</v>
      </c>
      <c r="I44" s="296">
        <v>6.28</v>
      </c>
    </row>
    <row r="45" spans="2:9" x14ac:dyDescent="0.25">
      <c r="B45" s="295">
        <f t="shared" si="1"/>
        <v>39</v>
      </c>
      <c r="C45" s="296">
        <v>992.63</v>
      </c>
      <c r="D45" s="297">
        <v>6.6600000000000003E-4</v>
      </c>
      <c r="E45" s="298">
        <f t="shared" si="0"/>
        <v>6.709448636450642E-7</v>
      </c>
      <c r="F45" s="296">
        <v>6.9909999999999997</v>
      </c>
      <c r="G45" s="296">
        <v>6.51</v>
      </c>
      <c r="H45" s="296">
        <v>6.34</v>
      </c>
      <c r="I45" s="296">
        <v>6.18</v>
      </c>
    </row>
    <row r="46" spans="2:9" x14ac:dyDescent="0.25">
      <c r="B46" s="295">
        <f t="shared" si="1"/>
        <v>40</v>
      </c>
      <c r="C46" s="296">
        <v>992.25</v>
      </c>
      <c r="D46" s="297">
        <v>6.5300000000000004E-4</v>
      </c>
      <c r="E46" s="298">
        <f t="shared" si="0"/>
        <v>6.5810027714789624E-7</v>
      </c>
      <c r="F46" s="296">
        <v>7.375</v>
      </c>
      <c r="G46" s="296">
        <v>6.41</v>
      </c>
      <c r="H46" s="296">
        <v>6.25</v>
      </c>
      <c r="I46" s="296">
        <v>6.09</v>
      </c>
    </row>
    <row r="47" spans="2:9" ht="29.25" customHeight="1" x14ac:dyDescent="0.25">
      <c r="B47" s="761" t="s">
        <v>224</v>
      </c>
      <c r="C47" s="762"/>
      <c r="D47" s="762"/>
      <c r="E47" s="762"/>
      <c r="F47" s="763"/>
      <c r="G47" s="764" t="s">
        <v>225</v>
      </c>
      <c r="H47" s="765"/>
      <c r="I47" s="766"/>
    </row>
    <row r="48" spans="2:9" x14ac:dyDescent="0.25">
      <c r="B48" s="299" t="s">
        <v>226</v>
      </c>
      <c r="C48" s="4"/>
      <c r="D48" s="4"/>
      <c r="E48" s="300"/>
      <c r="F48" s="301"/>
      <c r="G48" s="767"/>
      <c r="H48" s="768"/>
      <c r="I48" s="769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E70DAA9C-DB82-4509-A56B-71749FB67DD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99A2-245F-437F-907F-4DCD858A5402}">
  <dimension ref="A1:L6"/>
  <sheetViews>
    <sheetView showGridLines="0" workbookViewId="0">
      <selection activeCell="G13" sqref="G13"/>
    </sheetView>
  </sheetViews>
  <sheetFormatPr baseColWidth="10" defaultRowHeight="15" x14ac:dyDescent="0.25"/>
  <cols>
    <col min="1" max="1" width="25.85546875" customWidth="1"/>
    <col min="2" max="2" width="13.140625" customWidth="1"/>
    <col min="3" max="3" width="14.28515625" customWidth="1"/>
    <col min="4" max="4" width="12.42578125" customWidth="1"/>
    <col min="5" max="5" width="11.140625" customWidth="1"/>
    <col min="6" max="6" width="12.7109375" customWidth="1"/>
    <col min="7" max="7" width="14.140625" customWidth="1"/>
    <col min="8" max="8" width="9" customWidth="1"/>
    <col min="9" max="9" width="10.85546875" customWidth="1"/>
    <col min="11" max="11" width="19.7109375" customWidth="1"/>
    <col min="12" max="12" width="6.5703125" customWidth="1"/>
  </cols>
  <sheetData>
    <row r="1" spans="1:12" x14ac:dyDescent="0.25">
      <c r="A1" t="s">
        <v>256</v>
      </c>
    </row>
    <row r="2" spans="1:12" x14ac:dyDescent="0.25">
      <c r="A2" s="350" t="s">
        <v>259</v>
      </c>
      <c r="B2" s="776" t="s">
        <v>260</v>
      </c>
      <c r="C2" s="776"/>
      <c r="D2" s="777" t="s">
        <v>339</v>
      </c>
      <c r="E2" s="778"/>
      <c r="F2" s="776" t="s">
        <v>341</v>
      </c>
      <c r="G2" s="776"/>
      <c r="H2" s="776" t="s">
        <v>346</v>
      </c>
      <c r="I2" s="776"/>
      <c r="K2" s="779"/>
      <c r="L2" s="779"/>
    </row>
    <row r="3" spans="1:12" x14ac:dyDescent="0.25">
      <c r="A3" s="2" t="s">
        <v>257</v>
      </c>
      <c r="B3" s="26">
        <v>25</v>
      </c>
      <c r="C3" s="27" t="s">
        <v>261</v>
      </c>
      <c r="D3" s="26">
        <v>0.92400000000000004</v>
      </c>
      <c r="E3" s="27" t="s">
        <v>340</v>
      </c>
      <c r="F3" s="26">
        <v>0.51800000000000002</v>
      </c>
      <c r="G3" s="27" t="s">
        <v>340</v>
      </c>
      <c r="H3" s="478">
        <f>213.8/324.4</f>
        <v>0.65906288532675716</v>
      </c>
      <c r="I3" s="27" t="s">
        <v>340</v>
      </c>
      <c r="K3" s="728"/>
    </row>
    <row r="4" spans="1:12" x14ac:dyDescent="0.25">
      <c r="A4" s="2" t="s">
        <v>258</v>
      </c>
      <c r="B4" s="26">
        <v>40</v>
      </c>
      <c r="C4" s="27" t="s">
        <v>261</v>
      </c>
      <c r="D4" s="478">
        <v>0.45</v>
      </c>
      <c r="E4" s="27" t="s">
        <v>340</v>
      </c>
      <c r="F4" s="26">
        <v>0.252</v>
      </c>
      <c r="G4" s="27" t="s">
        <v>340</v>
      </c>
      <c r="H4" s="26">
        <v>0.23400000000000001</v>
      </c>
      <c r="I4" s="27" t="s">
        <v>340</v>
      </c>
      <c r="K4" s="728"/>
    </row>
    <row r="5" spans="1:12" x14ac:dyDescent="0.25">
      <c r="A5" s="2" t="s">
        <v>403</v>
      </c>
      <c r="B5" s="26">
        <v>25</v>
      </c>
      <c r="C5" s="27" t="s">
        <v>261</v>
      </c>
      <c r="D5" s="478">
        <f>F5*1.35</f>
        <v>0.37471867966991751</v>
      </c>
      <c r="E5" s="27" t="s">
        <v>340</v>
      </c>
      <c r="F5" s="478">
        <f>3*37/399.9</f>
        <v>0.27756939234808703</v>
      </c>
      <c r="G5" s="27" t="s">
        <v>340</v>
      </c>
      <c r="H5" s="478">
        <f>408/399.9</f>
        <v>1.0202550637659416</v>
      </c>
      <c r="I5" s="27" t="s">
        <v>340</v>
      </c>
      <c r="K5" s="68"/>
    </row>
    <row r="6" spans="1:12" x14ac:dyDescent="0.25">
      <c r="A6" s="5" t="s">
        <v>262</v>
      </c>
      <c r="B6" t="s">
        <v>542</v>
      </c>
      <c r="F6" s="153" t="s">
        <v>541</v>
      </c>
    </row>
  </sheetData>
  <mergeCells count="5">
    <mergeCell ref="B2:C2"/>
    <mergeCell ref="F2:G2"/>
    <mergeCell ref="D2:E2"/>
    <mergeCell ref="H2:I2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033-ED68-4D48-827E-769D14E07741}">
  <dimension ref="A1:G35"/>
  <sheetViews>
    <sheetView showGridLines="0" zoomScale="75" zoomScaleNormal="75" workbookViewId="0">
      <selection activeCell="N40" sqref="N40"/>
    </sheetView>
  </sheetViews>
  <sheetFormatPr baseColWidth="10" defaultRowHeight="15" x14ac:dyDescent="0.25"/>
  <cols>
    <col min="1" max="1" width="19.7109375" style="153" customWidth="1"/>
    <col min="2" max="2" width="15.140625" style="153" customWidth="1"/>
    <col min="3" max="3" width="6.42578125" style="153" customWidth="1"/>
    <col min="4" max="4" width="10.7109375" customWidth="1"/>
    <col min="5" max="5" width="5.7109375" customWidth="1"/>
    <col min="6" max="9" width="10.7109375" customWidth="1"/>
  </cols>
  <sheetData>
    <row r="1" spans="1:7" ht="38.25" customHeight="1" x14ac:dyDescent="0.25">
      <c r="A1" s="780" t="s">
        <v>289</v>
      </c>
      <c r="B1" s="781"/>
      <c r="C1" s="373"/>
      <c r="D1" s="76"/>
      <c r="E1" s="14"/>
    </row>
    <row r="2" spans="1:7" ht="30" x14ac:dyDescent="0.25">
      <c r="A2" s="374" t="s">
        <v>290</v>
      </c>
      <c r="B2" s="375" t="s">
        <v>291</v>
      </c>
      <c r="C2" s="376"/>
      <c r="D2" s="782"/>
      <c r="E2" s="783"/>
      <c r="F2" s="14"/>
      <c r="G2" s="14"/>
    </row>
    <row r="3" spans="1:7" ht="24" customHeight="1" x14ac:dyDescent="0.25">
      <c r="A3" s="377">
        <v>1</v>
      </c>
      <c r="B3" s="378">
        <v>14.3</v>
      </c>
      <c r="C3" s="376"/>
      <c r="D3" s="379"/>
      <c r="E3" s="380"/>
      <c r="F3" s="14"/>
      <c r="G3" s="14"/>
    </row>
    <row r="4" spans="1:7" x14ac:dyDescent="0.25">
      <c r="A4" s="377">
        <v>1.5</v>
      </c>
      <c r="B4" s="378">
        <v>24</v>
      </c>
      <c r="C4" s="376"/>
      <c r="D4" s="381"/>
      <c r="E4" s="21"/>
    </row>
    <row r="5" spans="1:7" x14ac:dyDescent="0.25">
      <c r="A5" s="377">
        <v>2</v>
      </c>
      <c r="B5" s="378">
        <v>27.5</v>
      </c>
      <c r="C5" s="376"/>
      <c r="D5" s="381"/>
      <c r="E5" s="21"/>
    </row>
    <row r="6" spans="1:7" x14ac:dyDescent="0.25">
      <c r="A6" s="377">
        <v>3</v>
      </c>
      <c r="B6" s="378">
        <v>43</v>
      </c>
      <c r="C6" s="376"/>
      <c r="D6" s="381"/>
      <c r="E6" s="21"/>
    </row>
    <row r="8" spans="1:7" x14ac:dyDescent="0.25">
      <c r="A8" s="784" t="s">
        <v>292</v>
      </c>
      <c r="B8" s="784"/>
      <c r="C8" s="785"/>
      <c r="D8" s="785"/>
      <c r="E8" s="785"/>
      <c r="F8" s="785"/>
      <c r="G8" s="785"/>
    </row>
    <row r="9" spans="1:7" x14ac:dyDescent="0.25">
      <c r="A9" s="382" t="s">
        <v>293</v>
      </c>
      <c r="B9" s="383">
        <v>1.5</v>
      </c>
      <c r="C9" s="384" t="s">
        <v>15</v>
      </c>
      <c r="D9" s="385">
        <v>2</v>
      </c>
      <c r="E9" s="386" t="s">
        <v>15</v>
      </c>
      <c r="F9" s="383">
        <v>3</v>
      </c>
      <c r="G9" s="384" t="s">
        <v>15</v>
      </c>
    </row>
    <row r="10" spans="1:7" x14ac:dyDescent="0.25">
      <c r="A10" s="382" t="s">
        <v>294</v>
      </c>
      <c r="B10" s="383">
        <v>10</v>
      </c>
      <c r="C10" s="384" t="s">
        <v>278</v>
      </c>
      <c r="D10" s="385">
        <v>10</v>
      </c>
      <c r="E10" s="386" t="s">
        <v>278</v>
      </c>
      <c r="F10" s="383">
        <v>10</v>
      </c>
      <c r="G10" s="384" t="s">
        <v>278</v>
      </c>
    </row>
    <row r="11" spans="1:7" x14ac:dyDescent="0.25">
      <c r="A11" s="387"/>
      <c r="B11" s="388">
        <f>B10*0.707</f>
        <v>7.0699999999999994</v>
      </c>
      <c r="C11" s="301" t="s">
        <v>6</v>
      </c>
      <c r="D11" s="4">
        <f>D10*0.707</f>
        <v>7.0699999999999994</v>
      </c>
      <c r="E11" s="4" t="s">
        <v>6</v>
      </c>
      <c r="F11" s="388">
        <f>F10*0.707</f>
        <v>7.0699999999999994</v>
      </c>
      <c r="G11" s="301" t="s">
        <v>6</v>
      </c>
    </row>
    <row r="12" spans="1:7" x14ac:dyDescent="0.25">
      <c r="A12" s="389" t="s">
        <v>49</v>
      </c>
      <c r="B12" s="390">
        <v>85</v>
      </c>
      <c r="C12" s="391" t="s">
        <v>62</v>
      </c>
      <c r="D12" s="5">
        <v>112</v>
      </c>
      <c r="E12" s="153" t="s">
        <v>62</v>
      </c>
      <c r="F12" s="390">
        <v>266</v>
      </c>
      <c r="G12" s="391" t="s">
        <v>62</v>
      </c>
    </row>
    <row r="13" spans="1:7" x14ac:dyDescent="0.25">
      <c r="A13" s="389"/>
      <c r="B13" s="392">
        <f>B12/15.84</f>
        <v>5.3661616161616159</v>
      </c>
      <c r="C13" s="393" t="s">
        <v>1</v>
      </c>
      <c r="D13" s="68">
        <f>D12/15.84</f>
        <v>7.0707070707070709</v>
      </c>
      <c r="E13" t="s">
        <v>1</v>
      </c>
      <c r="F13" s="392">
        <f>F12/15.84</f>
        <v>16.792929292929294</v>
      </c>
      <c r="G13" s="394" t="s">
        <v>1</v>
      </c>
    </row>
    <row r="14" spans="1:7" x14ac:dyDescent="0.25">
      <c r="A14" s="382" t="s">
        <v>291</v>
      </c>
      <c r="B14" s="395">
        <v>24</v>
      </c>
      <c r="C14" s="396" t="s">
        <v>47</v>
      </c>
      <c r="D14" s="397">
        <v>27.5</v>
      </c>
      <c r="E14" s="398" t="s">
        <v>47</v>
      </c>
      <c r="F14" s="395">
        <v>43</v>
      </c>
      <c r="G14" s="396" t="s">
        <v>47</v>
      </c>
    </row>
    <row r="15" spans="1:7" x14ac:dyDescent="0.25">
      <c r="A15" s="387"/>
      <c r="B15" s="399">
        <f>B14/1000</f>
        <v>2.4E-2</v>
      </c>
      <c r="C15" s="400" t="s">
        <v>6</v>
      </c>
      <c r="D15" s="401">
        <f>D14/1000</f>
        <v>2.75E-2</v>
      </c>
      <c r="E15" s="402" t="s">
        <v>6</v>
      </c>
      <c r="F15" s="399">
        <f>F14/1000</f>
        <v>4.2999999999999997E-2</v>
      </c>
      <c r="G15" s="400" t="s">
        <v>6</v>
      </c>
    </row>
    <row r="16" spans="1:7" x14ac:dyDescent="0.25">
      <c r="A16" s="403" t="s">
        <v>295</v>
      </c>
      <c r="B16" s="404">
        <f>0.25*3.14*(B15)^2</f>
        <v>4.5216000000000001E-4</v>
      </c>
      <c r="C16" s="25" t="s">
        <v>5</v>
      </c>
      <c r="D16" s="405">
        <f>0.25*3.14*(D15)^2</f>
        <v>5.9365625E-4</v>
      </c>
      <c r="E16" s="406" t="s">
        <v>5</v>
      </c>
      <c r="F16" s="404">
        <f>0.25*3.14*(F15)^2</f>
        <v>1.4514649999999999E-3</v>
      </c>
      <c r="G16" s="25" t="s">
        <v>5</v>
      </c>
    </row>
    <row r="17" spans="1:7" x14ac:dyDescent="0.25">
      <c r="A17" s="403" t="s">
        <v>296</v>
      </c>
      <c r="B17" s="407">
        <f>0.001*B13/B16</f>
        <v>11.86783796921801</v>
      </c>
      <c r="C17" s="27" t="s">
        <v>16</v>
      </c>
      <c r="D17" s="408">
        <f>0.001*D13/D16</f>
        <v>11.910439872749713</v>
      </c>
      <c r="E17" s="3" t="s">
        <v>16</v>
      </c>
      <c r="F17" s="407">
        <f>0.001*F13/F16</f>
        <v>11.569641219684453</v>
      </c>
      <c r="G17" s="27" t="s">
        <v>16</v>
      </c>
    </row>
    <row r="18" spans="1:7" x14ac:dyDescent="0.25">
      <c r="A18" s="403" t="s">
        <v>81</v>
      </c>
      <c r="B18" s="407">
        <f>B17^2/19.6</f>
        <v>7.1859988807965642</v>
      </c>
      <c r="C18" s="27" t="s">
        <v>6</v>
      </c>
      <c r="D18" s="408">
        <f>D17^2/19.6</f>
        <v>7.2376825491013355</v>
      </c>
      <c r="E18" s="3" t="s">
        <v>6</v>
      </c>
      <c r="F18" s="407">
        <f>F17^2/19.6</f>
        <v>6.8294182628684466</v>
      </c>
      <c r="G18" s="27" t="s">
        <v>6</v>
      </c>
    </row>
    <row r="19" spans="1:7" x14ac:dyDescent="0.25">
      <c r="A19" s="403" t="s">
        <v>297</v>
      </c>
      <c r="B19" s="407">
        <f>B11/B18</f>
        <v>0.98385765392942748</v>
      </c>
      <c r="C19" s="27"/>
      <c r="D19" s="408">
        <f>D11/D18</f>
        <v>0.97683201108037598</v>
      </c>
      <c r="E19" s="3"/>
      <c r="F19" s="407">
        <f>F11/F18</f>
        <v>1.0352272664920226</v>
      </c>
      <c r="G19" s="27"/>
    </row>
    <row r="20" spans="1:7" x14ac:dyDescent="0.25">
      <c r="A20" s="786" t="s">
        <v>298</v>
      </c>
      <c r="B20" s="787"/>
      <c r="C20" s="787"/>
      <c r="D20" s="787"/>
      <c r="E20" s="409">
        <f>AVERAGE(B19:G19)</f>
        <v>0.99863897716727534</v>
      </c>
      <c r="F20" s="5"/>
      <c r="G20" s="153"/>
    </row>
    <row r="21" spans="1:7" x14ac:dyDescent="0.25">
      <c r="B21" s="5"/>
    </row>
    <row r="22" spans="1:7" x14ac:dyDescent="0.25">
      <c r="B22" s="5"/>
    </row>
    <row r="23" spans="1:7" x14ac:dyDescent="0.25">
      <c r="B23" s="5"/>
    </row>
    <row r="34" spans="1:3" x14ac:dyDescent="0.25">
      <c r="A34" s="5" t="s">
        <v>299</v>
      </c>
    </row>
    <row r="35" spans="1:3" x14ac:dyDescent="0.25">
      <c r="A35" s="410" t="s">
        <v>300</v>
      </c>
      <c r="C35"/>
    </row>
  </sheetData>
  <mergeCells count="4">
    <mergeCell ref="A1:B1"/>
    <mergeCell ref="D2:E2"/>
    <mergeCell ref="A8:G8"/>
    <mergeCell ref="A20:D20"/>
  </mergeCells>
  <hyperlinks>
    <hyperlink ref="A35" r:id="rId1" xr:uid="{B95DBC79-48DA-4892-B8A5-FD639FBC0C9E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52C5-45CE-4139-A702-67004A820E7D}">
  <dimension ref="A1:H34"/>
  <sheetViews>
    <sheetView showGridLines="0" zoomScale="75" zoomScaleNormal="75" workbookViewId="0">
      <selection activeCell="E3" sqref="E3"/>
    </sheetView>
  </sheetViews>
  <sheetFormatPr baseColWidth="10" defaultRowHeight="15" x14ac:dyDescent="0.25"/>
  <cols>
    <col min="1" max="1" width="36.140625" customWidth="1"/>
    <col min="2" max="2" width="54" customWidth="1"/>
    <col min="3" max="3" width="12" customWidth="1"/>
    <col min="4" max="4" width="15" customWidth="1"/>
    <col min="5" max="5" width="18.85546875" customWidth="1"/>
    <col min="6" max="6" width="5.85546875" customWidth="1"/>
    <col min="7" max="7" width="16.7109375" customWidth="1"/>
    <col min="8" max="8" width="14.7109375" customWidth="1"/>
    <col min="9" max="9" width="20" customWidth="1"/>
    <col min="10" max="10" width="24.28515625" customWidth="1"/>
    <col min="11" max="11" width="14.85546875" customWidth="1"/>
    <col min="12" max="12" width="7.28515625" customWidth="1"/>
    <col min="13" max="13" width="15" customWidth="1"/>
  </cols>
  <sheetData>
    <row r="1" spans="1:8" ht="36.75" customHeight="1" x14ac:dyDescent="0.25">
      <c r="A1" s="582" t="s">
        <v>148</v>
      </c>
      <c r="G1" s="630" t="s">
        <v>149</v>
      </c>
      <c r="H1" s="583" t="s">
        <v>150</v>
      </c>
    </row>
    <row r="2" spans="1:8" ht="15.75" x14ac:dyDescent="0.25">
      <c r="B2" s="26"/>
      <c r="C2" s="631" t="s">
        <v>414</v>
      </c>
      <c r="D2" s="3"/>
      <c r="E2" s="3"/>
      <c r="F2" s="3"/>
      <c r="G2" s="2"/>
      <c r="H2" s="2"/>
    </row>
    <row r="3" spans="1:8" ht="15" customHeight="1" x14ac:dyDescent="0.25">
      <c r="A3" s="123"/>
      <c r="B3" s="632" t="s">
        <v>510</v>
      </c>
      <c r="C3" s="517"/>
      <c r="D3" s="633"/>
      <c r="E3" s="634">
        <f>E4+E16</f>
        <v>1.7999308222971875</v>
      </c>
      <c r="F3" s="635" t="s">
        <v>6</v>
      </c>
      <c r="G3" s="646">
        <f>G4+G16</f>
        <v>1.7999308222971875</v>
      </c>
      <c r="H3" s="125">
        <f t="shared" ref="H3:H34" si="0">G3-E3</f>
        <v>0</v>
      </c>
    </row>
    <row r="4" spans="1:8" ht="15" customHeight="1" x14ac:dyDescent="0.25">
      <c r="A4" s="2"/>
      <c r="B4" s="636" t="s">
        <v>415</v>
      </c>
      <c r="C4" s="471"/>
      <c r="D4" s="637" t="s">
        <v>416</v>
      </c>
      <c r="E4" s="638">
        <f>E10+SUM(E13:E15)</f>
        <v>0.470737494925762</v>
      </c>
      <c r="F4" s="639" t="s">
        <v>6</v>
      </c>
      <c r="G4" s="646">
        <f>G10+SUM(G13:G15)</f>
        <v>0.470737494925762</v>
      </c>
      <c r="H4" s="125">
        <f t="shared" si="0"/>
        <v>0</v>
      </c>
    </row>
    <row r="5" spans="1:8" ht="15" customHeight="1" x14ac:dyDescent="0.35">
      <c r="A5" s="2"/>
      <c r="B5" s="126" t="s">
        <v>309</v>
      </c>
      <c r="C5" s="523" t="s">
        <v>310</v>
      </c>
      <c r="D5" s="523" t="s">
        <v>311</v>
      </c>
      <c r="E5" s="137">
        <v>150</v>
      </c>
      <c r="F5" s="640"/>
      <c r="G5" s="629">
        <v>150</v>
      </c>
      <c r="H5" s="125">
        <f t="shared" si="0"/>
        <v>0</v>
      </c>
    </row>
    <row r="6" spans="1:8" ht="15" customHeight="1" x14ac:dyDescent="0.25">
      <c r="A6" s="544" t="s">
        <v>252</v>
      </c>
      <c r="B6" s="510" t="s">
        <v>417</v>
      </c>
      <c r="C6" s="101"/>
      <c r="D6" s="3"/>
      <c r="E6" s="641">
        <f>'Planta TPQA'!E119</f>
        <v>7.2813319174451836</v>
      </c>
      <c r="F6" s="640" t="s">
        <v>1</v>
      </c>
      <c r="G6" s="647">
        <f>'Planta TPQA'!G119</f>
        <v>7.2813319174451836</v>
      </c>
      <c r="H6" s="125">
        <f t="shared" si="0"/>
        <v>0</v>
      </c>
    </row>
    <row r="7" spans="1:8" ht="15" customHeight="1" x14ac:dyDescent="0.25">
      <c r="A7" s="2"/>
      <c r="B7" s="667" t="s">
        <v>313</v>
      </c>
      <c r="C7" s="668"/>
      <c r="D7" s="47"/>
      <c r="E7" s="669">
        <f>2+0.45+0.6</f>
        <v>3.0500000000000003</v>
      </c>
      <c r="F7" s="670" t="s">
        <v>46</v>
      </c>
      <c r="G7" s="589">
        <f>2+0.45+0.6</f>
        <v>3.0500000000000003</v>
      </c>
      <c r="H7" s="125">
        <f t="shared" si="0"/>
        <v>0</v>
      </c>
    </row>
    <row r="8" spans="1:8" ht="15" customHeight="1" x14ac:dyDescent="0.25">
      <c r="A8" s="2"/>
      <c r="B8" s="671" t="s">
        <v>314</v>
      </c>
      <c r="C8" s="668"/>
      <c r="D8" s="47"/>
      <c r="E8" s="669">
        <v>3</v>
      </c>
      <c r="F8" s="672" t="s">
        <v>15</v>
      </c>
      <c r="G8" s="589">
        <v>3</v>
      </c>
      <c r="H8" s="125">
        <f t="shared" si="0"/>
        <v>0</v>
      </c>
    </row>
    <row r="9" spans="1:8" ht="15" customHeight="1" x14ac:dyDescent="0.25">
      <c r="A9" s="2"/>
      <c r="B9" s="420" t="s">
        <v>315</v>
      </c>
      <c r="C9" s="132"/>
      <c r="D9" s="3"/>
      <c r="E9" s="103">
        <f>0.001*E6/(0.25*3.14*(0.0254*E8)^2)</f>
        <v>1.5974645497826079</v>
      </c>
      <c r="F9" s="523" t="s">
        <v>16</v>
      </c>
      <c r="G9" s="645">
        <f>0.001*G6/(0.25*3.14*(0.0254*G8)^2)</f>
        <v>1.5974645497826079</v>
      </c>
      <c r="H9" s="125">
        <f t="shared" si="0"/>
        <v>0</v>
      </c>
    </row>
    <row r="10" spans="1:8" ht="15" customHeight="1" x14ac:dyDescent="0.25">
      <c r="A10" s="544" t="s">
        <v>452</v>
      </c>
      <c r="B10" s="421" t="s">
        <v>398</v>
      </c>
      <c r="C10" s="422"/>
      <c r="D10" s="3"/>
      <c r="E10" s="65">
        <f>(10.672*E7*(0.001*E6/E5)^1.852)/(0.0254*E8)^4.871</f>
        <v>9.3161491627025556E-2</v>
      </c>
      <c r="F10" s="486" t="s">
        <v>6</v>
      </c>
      <c r="G10" s="588">
        <f>(10.672*G7*(0.001*G6/G5)^1.852)/(0.0254*G8)^4.871</f>
        <v>9.3161491627025556E-2</v>
      </c>
      <c r="H10" s="125">
        <f t="shared" si="0"/>
        <v>0</v>
      </c>
    </row>
    <row r="11" spans="1:8" ht="15" customHeight="1" x14ac:dyDescent="0.25">
      <c r="A11" s="2"/>
      <c r="B11" s="420" t="s">
        <v>95</v>
      </c>
      <c r="C11" s="132"/>
      <c r="D11" s="3"/>
      <c r="E11" s="103">
        <f>E9^2/19.6</f>
        <v>0.1301986218271505</v>
      </c>
      <c r="F11" s="523" t="s">
        <v>6</v>
      </c>
      <c r="G11" s="645">
        <f>G9^2/19.6</f>
        <v>0.1301986218271505</v>
      </c>
      <c r="H11" s="125">
        <f t="shared" si="0"/>
        <v>0</v>
      </c>
    </row>
    <row r="12" spans="1:8" ht="15" customHeight="1" x14ac:dyDescent="0.25">
      <c r="A12" s="2"/>
      <c r="B12" s="424" t="s">
        <v>96</v>
      </c>
      <c r="C12" s="642" t="s">
        <v>284</v>
      </c>
      <c r="D12" s="515" t="s">
        <v>316</v>
      </c>
      <c r="E12" s="643" t="s">
        <v>511</v>
      </c>
      <c r="F12" s="3"/>
      <c r="G12" s="643"/>
      <c r="H12" s="581"/>
    </row>
    <row r="13" spans="1:8" ht="15" customHeight="1" x14ac:dyDescent="0.25">
      <c r="A13" s="472" t="s">
        <v>399</v>
      </c>
      <c r="B13" s="126" t="s">
        <v>401</v>
      </c>
      <c r="C13" s="529">
        <v>1.8</v>
      </c>
      <c r="D13" s="530">
        <v>1</v>
      </c>
      <c r="E13" s="102">
        <f>C13*D13*E11</f>
        <v>0.23435751928887091</v>
      </c>
      <c r="F13" s="523" t="s">
        <v>6</v>
      </c>
      <c r="G13" s="589">
        <f>C13*D13*$G$11</f>
        <v>0.23435751928887091</v>
      </c>
      <c r="H13" s="125">
        <f t="shared" si="0"/>
        <v>0</v>
      </c>
    </row>
    <row r="14" spans="1:8" ht="15" customHeight="1" x14ac:dyDescent="0.25">
      <c r="A14" s="472" t="s">
        <v>399</v>
      </c>
      <c r="B14" s="126" t="s">
        <v>318</v>
      </c>
      <c r="C14" s="529">
        <v>0.9</v>
      </c>
      <c r="D14" s="530">
        <v>1</v>
      </c>
      <c r="E14" s="102">
        <f>C14*D14*E11</f>
        <v>0.11717875964443546</v>
      </c>
      <c r="F14" s="523" t="s">
        <v>6</v>
      </c>
      <c r="G14" s="589">
        <f t="shared" ref="G14:G15" si="1">C14*D14*$G$11</f>
        <v>0.11717875964443546</v>
      </c>
      <c r="H14" s="125">
        <f t="shared" si="0"/>
        <v>0</v>
      </c>
    </row>
    <row r="15" spans="1:8" ht="15" customHeight="1" x14ac:dyDescent="0.25">
      <c r="A15" s="472" t="s">
        <v>399</v>
      </c>
      <c r="B15" s="126" t="s">
        <v>418</v>
      </c>
      <c r="C15" s="529">
        <v>0.2</v>
      </c>
      <c r="D15" s="530">
        <v>1</v>
      </c>
      <c r="E15" s="102">
        <f>C15*D15*E11</f>
        <v>2.6039724365430103E-2</v>
      </c>
      <c r="F15" s="523" t="s">
        <v>6</v>
      </c>
      <c r="G15" s="589">
        <f t="shared" si="1"/>
        <v>2.6039724365430103E-2</v>
      </c>
      <c r="H15" s="125">
        <f t="shared" si="0"/>
        <v>0</v>
      </c>
    </row>
    <row r="16" spans="1:8" ht="15" customHeight="1" x14ac:dyDescent="0.25">
      <c r="A16" s="2"/>
      <c r="B16" s="636" t="s">
        <v>419</v>
      </c>
      <c r="C16" s="471"/>
      <c r="D16" s="637" t="s">
        <v>416</v>
      </c>
      <c r="E16" s="638">
        <f>E21</f>
        <v>1.3291933273714256</v>
      </c>
      <c r="F16" s="639" t="s">
        <v>6</v>
      </c>
      <c r="G16" s="646">
        <f>G21</f>
        <v>1.3291933273714256</v>
      </c>
      <c r="H16" s="125">
        <f t="shared" si="0"/>
        <v>0</v>
      </c>
    </row>
    <row r="17" spans="1:8" ht="15" customHeight="1" x14ac:dyDescent="0.25">
      <c r="A17" s="2"/>
      <c r="B17" s="126" t="s">
        <v>417</v>
      </c>
      <c r="C17" s="523"/>
      <c r="D17" s="523"/>
      <c r="E17" s="137">
        <f>E6</f>
        <v>7.2813319174451836</v>
      </c>
      <c r="F17" s="640" t="s">
        <v>1</v>
      </c>
      <c r="G17" s="629">
        <f>G6</f>
        <v>7.2813319174451836</v>
      </c>
      <c r="H17" s="125">
        <f t="shared" si="0"/>
        <v>0</v>
      </c>
    </row>
    <row r="18" spans="1:8" ht="15" customHeight="1" x14ac:dyDescent="0.25">
      <c r="A18" s="544" t="s">
        <v>252</v>
      </c>
      <c r="B18" s="510" t="s">
        <v>420</v>
      </c>
      <c r="C18" s="101"/>
      <c r="D18" s="3"/>
      <c r="E18" s="641">
        <f>'Planta TPQA'!E116</f>
        <v>43</v>
      </c>
      <c r="F18" s="640" t="s">
        <v>47</v>
      </c>
      <c r="G18" s="647">
        <f>'Planta TPQA'!G116</f>
        <v>43</v>
      </c>
      <c r="H18" s="125">
        <f t="shared" si="0"/>
        <v>0</v>
      </c>
    </row>
    <row r="19" spans="1:8" ht="15" customHeight="1" x14ac:dyDescent="0.25">
      <c r="A19" s="2"/>
      <c r="B19" s="191" t="s">
        <v>315</v>
      </c>
      <c r="C19" s="101"/>
      <c r="D19" s="3"/>
      <c r="E19" s="102">
        <f>0.001*E17/(3.14*(0.001*E18)^2/4)</f>
        <v>5.0165397839046628</v>
      </c>
      <c r="F19" s="460" t="s">
        <v>16</v>
      </c>
      <c r="G19" s="589">
        <f>0.001*G17/(3.14*(0.001*G18)^2/4)</f>
        <v>5.0165397839046628</v>
      </c>
      <c r="H19" s="125">
        <f t="shared" si="0"/>
        <v>0</v>
      </c>
    </row>
    <row r="20" spans="1:8" ht="15" customHeight="1" x14ac:dyDescent="0.25">
      <c r="A20" s="472" t="s">
        <v>448</v>
      </c>
      <c r="B20" s="274" t="s">
        <v>421</v>
      </c>
      <c r="C20" s="101"/>
      <c r="D20" s="3" t="s">
        <v>284</v>
      </c>
      <c r="E20" s="102">
        <f>'Valvula Flotador'!F19</f>
        <v>1.0352272664920226</v>
      </c>
      <c r="F20" s="542"/>
      <c r="G20" s="589">
        <f>'Valvula Flotador'!F19</f>
        <v>1.0352272664920226</v>
      </c>
      <c r="H20" s="125">
        <f t="shared" si="0"/>
        <v>0</v>
      </c>
    </row>
    <row r="21" spans="1:8" ht="15" customHeight="1" x14ac:dyDescent="0.25">
      <c r="A21" s="544" t="s">
        <v>453</v>
      </c>
      <c r="B21" s="420" t="s">
        <v>422</v>
      </c>
      <c r="C21" s="132"/>
      <c r="D21" s="3"/>
      <c r="E21" s="103">
        <f>E20*E19^2/19.6</f>
        <v>1.3291933273714256</v>
      </c>
      <c r="F21" s="523" t="s">
        <v>6</v>
      </c>
      <c r="G21" s="645">
        <f>G20*G19^2/19.6</f>
        <v>1.3291933273714256</v>
      </c>
      <c r="H21" s="125">
        <f t="shared" si="0"/>
        <v>0</v>
      </c>
    </row>
    <row r="22" spans="1:8" ht="15" customHeight="1" x14ac:dyDescent="0.25">
      <c r="A22" s="544"/>
      <c r="B22" s="420"/>
      <c r="C22" s="644" t="s">
        <v>447</v>
      </c>
      <c r="E22" s="103"/>
      <c r="F22" s="523"/>
      <c r="G22" s="643"/>
      <c r="H22" s="581"/>
    </row>
    <row r="23" spans="1:8" ht="15" customHeight="1" x14ac:dyDescent="0.25">
      <c r="A23" s="2"/>
      <c r="B23" s="632" t="s">
        <v>416</v>
      </c>
      <c r="C23" s="517"/>
      <c r="D23" s="633"/>
      <c r="E23" s="634">
        <f>E29+SUM(E32:E34)</f>
        <v>0.49999250554188562</v>
      </c>
      <c r="F23" s="635" t="s">
        <v>6</v>
      </c>
      <c r="G23" s="646">
        <f>G29+SUM(G32:G34)</f>
        <v>0.49999250554188562</v>
      </c>
      <c r="H23" s="125">
        <f t="shared" si="0"/>
        <v>0</v>
      </c>
    </row>
    <row r="24" spans="1:8" ht="15" customHeight="1" x14ac:dyDescent="0.35">
      <c r="A24" s="2"/>
      <c r="B24" s="126" t="s">
        <v>309</v>
      </c>
      <c r="C24" s="523" t="s">
        <v>310</v>
      </c>
      <c r="D24" s="523" t="s">
        <v>311</v>
      </c>
      <c r="E24" s="137">
        <v>150</v>
      </c>
      <c r="F24" s="640"/>
      <c r="G24" s="629">
        <v>150</v>
      </c>
      <c r="H24" s="125">
        <f t="shared" si="0"/>
        <v>0</v>
      </c>
    </row>
    <row r="25" spans="1:8" ht="15" customHeight="1" x14ac:dyDescent="0.25">
      <c r="A25" s="544" t="s">
        <v>252</v>
      </c>
      <c r="B25" s="510" t="s">
        <v>417</v>
      </c>
      <c r="C25" s="101"/>
      <c r="D25" s="3"/>
      <c r="E25" s="124">
        <f>'Lecho de Secado'!E6</f>
        <v>2.0332039598278451</v>
      </c>
      <c r="F25" s="460" t="s">
        <v>1</v>
      </c>
      <c r="G25" s="608">
        <f>'Lecho de Secado'!G6</f>
        <v>2.0332039598278451</v>
      </c>
      <c r="H25" s="125">
        <f t="shared" si="0"/>
        <v>0</v>
      </c>
    </row>
    <row r="26" spans="1:8" ht="15" customHeight="1" x14ac:dyDescent="0.25">
      <c r="A26" s="2"/>
      <c r="B26" s="670" t="s">
        <v>313</v>
      </c>
      <c r="C26" s="668"/>
      <c r="D26" s="47"/>
      <c r="E26" s="669">
        <f>2.6+0.9+2.5+2.5</f>
        <v>8.5</v>
      </c>
      <c r="F26" s="670" t="s">
        <v>46</v>
      </c>
      <c r="G26" s="589">
        <f>2.6+0.9+2.5+2.5</f>
        <v>8.5</v>
      </c>
      <c r="H26" s="125">
        <f t="shared" si="0"/>
        <v>0</v>
      </c>
    </row>
    <row r="27" spans="1:8" ht="15" customHeight="1" x14ac:dyDescent="0.25">
      <c r="A27" s="2"/>
      <c r="B27" s="672" t="s">
        <v>314</v>
      </c>
      <c r="C27" s="668"/>
      <c r="D27" s="47"/>
      <c r="E27" s="669">
        <v>2</v>
      </c>
      <c r="F27" s="672" t="s">
        <v>15</v>
      </c>
      <c r="G27" s="589">
        <v>2</v>
      </c>
      <c r="H27" s="125">
        <f t="shared" si="0"/>
        <v>0</v>
      </c>
    </row>
    <row r="28" spans="1:8" ht="15" customHeight="1" x14ac:dyDescent="0.25">
      <c r="A28" s="2"/>
      <c r="B28" s="543" t="s">
        <v>315</v>
      </c>
      <c r="C28" s="132"/>
      <c r="D28" s="3"/>
      <c r="E28" s="103">
        <f>0.001*E25/(0.25*3.14*(0.0254*E27)^2)</f>
        <v>1.0036536435280388</v>
      </c>
      <c r="F28" s="523" t="s">
        <v>16</v>
      </c>
      <c r="G28" s="645">
        <f>0.001*G25/(0.25*3.14*(0.0254*G27)^2)</f>
        <v>1.0036536435280388</v>
      </c>
      <c r="H28" s="125">
        <f t="shared" si="0"/>
        <v>0</v>
      </c>
    </row>
    <row r="29" spans="1:8" ht="15" customHeight="1" x14ac:dyDescent="0.25">
      <c r="A29" s="544" t="s">
        <v>452</v>
      </c>
      <c r="B29" s="421" t="s">
        <v>398</v>
      </c>
      <c r="C29" s="422"/>
      <c r="D29" s="3"/>
      <c r="E29" s="65">
        <f>(10.672*E26*(0.001*E25/E24)^1.852)/(0.0254*E27)^4.871</f>
        <v>0.17621087248817258</v>
      </c>
      <c r="F29" s="486" t="s">
        <v>6</v>
      </c>
      <c r="G29" s="588">
        <f>(10.672*G26*(0.001*G25/G24)^1.852)/(0.0254*G27)^4.871</f>
        <v>0.17621087248817258</v>
      </c>
      <c r="H29" s="125">
        <f t="shared" si="0"/>
        <v>0</v>
      </c>
    </row>
    <row r="30" spans="1:8" ht="15" customHeight="1" x14ac:dyDescent="0.25">
      <c r="A30" s="2"/>
      <c r="B30" s="543" t="s">
        <v>95</v>
      </c>
      <c r="C30" s="132"/>
      <c r="E30" s="103">
        <f>E28^2/19.6</f>
        <v>5.1393910008525882E-2</v>
      </c>
      <c r="F30" s="523" t="s">
        <v>6</v>
      </c>
      <c r="G30" s="645">
        <f>G28^2/19.6</f>
        <v>5.1393910008525882E-2</v>
      </c>
      <c r="H30" s="125">
        <f t="shared" si="0"/>
        <v>0</v>
      </c>
    </row>
    <row r="31" spans="1:8" ht="15" customHeight="1" x14ac:dyDescent="0.25">
      <c r="A31" s="2"/>
      <c r="B31" s="424" t="s">
        <v>96</v>
      </c>
      <c r="C31" s="642" t="s">
        <v>284</v>
      </c>
      <c r="D31" s="515" t="s">
        <v>316</v>
      </c>
      <c r="E31" s="643" t="s">
        <v>512</v>
      </c>
      <c r="F31" s="3"/>
      <c r="G31" s="643"/>
      <c r="H31" s="581"/>
    </row>
    <row r="32" spans="1:8" ht="15" customHeight="1" x14ac:dyDescent="0.25">
      <c r="A32" s="472" t="s">
        <v>399</v>
      </c>
      <c r="B32" s="126" t="s">
        <v>401</v>
      </c>
      <c r="C32" s="529">
        <v>1.8</v>
      </c>
      <c r="D32" s="530">
        <v>1</v>
      </c>
      <c r="E32" s="102">
        <f>C32*D32*E30</f>
        <v>9.2509038015346587E-2</v>
      </c>
      <c r="F32" s="523" t="s">
        <v>6</v>
      </c>
      <c r="G32" s="589">
        <f>C32*D32*$G$30</f>
        <v>9.2509038015346587E-2</v>
      </c>
      <c r="H32" s="125">
        <f t="shared" si="0"/>
        <v>0</v>
      </c>
    </row>
    <row r="33" spans="1:8" ht="15" customHeight="1" x14ac:dyDescent="0.25">
      <c r="A33" s="472" t="s">
        <v>399</v>
      </c>
      <c r="B33" s="126" t="s">
        <v>449</v>
      </c>
      <c r="C33" s="529">
        <v>3</v>
      </c>
      <c r="D33" s="530">
        <v>1</v>
      </c>
      <c r="E33" s="102">
        <f>C33*D33*E30</f>
        <v>0.15418173002557764</v>
      </c>
      <c r="F33" s="523" t="s">
        <v>6</v>
      </c>
      <c r="G33" s="589">
        <f t="shared" ref="G33:G34" si="2">C33*D33*$G$30</f>
        <v>0.15418173002557764</v>
      </c>
      <c r="H33" s="125">
        <f t="shared" si="0"/>
        <v>0</v>
      </c>
    </row>
    <row r="34" spans="1:8" ht="15" customHeight="1" x14ac:dyDescent="0.25">
      <c r="A34" s="472" t="s">
        <v>399</v>
      </c>
      <c r="B34" s="126" t="s">
        <v>450</v>
      </c>
      <c r="C34" s="529">
        <v>1.5</v>
      </c>
      <c r="D34" s="530">
        <v>1</v>
      </c>
      <c r="E34" s="102">
        <f>C34*D34*E30</f>
        <v>7.709086501278882E-2</v>
      </c>
      <c r="F34" s="523" t="s">
        <v>6</v>
      </c>
      <c r="G34" s="589">
        <f t="shared" si="2"/>
        <v>7.709086501278882E-2</v>
      </c>
      <c r="H34" s="125">
        <f t="shared" si="0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5E4D-A3C0-40D5-9F36-5829E29FF668}">
  <dimension ref="A1:M70"/>
  <sheetViews>
    <sheetView showGridLines="0" zoomScale="75" zoomScaleNormal="75" workbookViewId="0">
      <selection activeCell="E2" sqref="E2"/>
    </sheetView>
  </sheetViews>
  <sheetFormatPr baseColWidth="10" defaultRowHeight="15" x14ac:dyDescent="0.25"/>
  <cols>
    <col min="1" max="1" width="32.140625" customWidth="1"/>
    <col min="2" max="2" width="31.7109375" customWidth="1"/>
    <col min="3" max="3" width="11.5703125" customWidth="1"/>
    <col min="4" max="4" width="16.7109375" customWidth="1"/>
    <col min="5" max="5" width="12.42578125" customWidth="1"/>
    <col min="6" max="6" width="9.42578125" customWidth="1"/>
    <col min="7" max="7" width="15" customWidth="1"/>
    <col min="8" max="8" width="13.285156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33" customHeight="1" x14ac:dyDescent="0.25">
      <c r="A1" s="582" t="s">
        <v>148</v>
      </c>
      <c r="G1" s="630" t="s">
        <v>149</v>
      </c>
      <c r="H1" s="583" t="s">
        <v>150</v>
      </c>
    </row>
    <row r="2" spans="1:13" ht="32.25" customHeight="1" x14ac:dyDescent="0.25">
      <c r="A2" s="123"/>
      <c r="B2" s="519" t="s">
        <v>424</v>
      </c>
      <c r="C2" s="520"/>
      <c r="D2" s="521" t="s">
        <v>425</v>
      </c>
      <c r="E2" s="654">
        <f>E3+E15+E25+E44</f>
        <v>0.58744071451010482</v>
      </c>
      <c r="F2" s="508" t="s">
        <v>6</v>
      </c>
      <c r="G2" s="655">
        <f>G3+G15+G25+G44</f>
        <v>0.58744071451010482</v>
      </c>
      <c r="H2" s="590">
        <f t="shared" ref="H2:H50" si="0">G2-E2</f>
        <v>0</v>
      </c>
    </row>
    <row r="3" spans="1:13" ht="26.25" customHeight="1" x14ac:dyDescent="0.25">
      <c r="A3" s="2"/>
      <c r="B3" s="522" t="s">
        <v>426</v>
      </c>
      <c r="C3" s="227" t="s">
        <v>308</v>
      </c>
      <c r="D3" s="648"/>
      <c r="E3" s="649">
        <f>E9+SUM(E12:E14)</f>
        <v>0.29144645128267926</v>
      </c>
      <c r="F3" s="650" t="s">
        <v>6</v>
      </c>
      <c r="G3" s="655">
        <f>G9+SUM(G12:G14)</f>
        <v>0.29144645128267926</v>
      </c>
      <c r="H3" s="590">
        <f t="shared" si="0"/>
        <v>0</v>
      </c>
    </row>
    <row r="4" spans="1:13" ht="18.75" x14ac:dyDescent="0.35">
      <c r="A4" s="2"/>
      <c r="B4" s="126" t="s">
        <v>309</v>
      </c>
      <c r="C4" s="523" t="s">
        <v>310</v>
      </c>
      <c r="D4" s="523" t="s">
        <v>311</v>
      </c>
      <c r="E4" s="651">
        <v>150</v>
      </c>
      <c r="F4" s="425"/>
      <c r="G4" s="656">
        <v>150</v>
      </c>
      <c r="H4" s="590">
        <f t="shared" si="0"/>
        <v>0</v>
      </c>
    </row>
    <row r="5" spans="1:13" x14ac:dyDescent="0.25">
      <c r="A5" s="2"/>
      <c r="B5" s="510" t="s">
        <v>427</v>
      </c>
      <c r="C5" s="101"/>
      <c r="D5" s="3"/>
      <c r="E5" s="124">
        <f>E17</f>
        <v>8.9223934455000009</v>
      </c>
      <c r="F5" s="192" t="s">
        <v>1</v>
      </c>
      <c r="G5" s="608">
        <f>G17</f>
        <v>8.9223934455000009</v>
      </c>
      <c r="H5" s="590">
        <f t="shared" si="0"/>
        <v>0</v>
      </c>
    </row>
    <row r="6" spans="1:13" x14ac:dyDescent="0.25">
      <c r="A6" s="2"/>
      <c r="B6" s="667" t="s">
        <v>313</v>
      </c>
      <c r="C6" s="668"/>
      <c r="D6" s="47"/>
      <c r="E6" s="669">
        <v>3</v>
      </c>
      <c r="F6" s="673" t="s">
        <v>46</v>
      </c>
      <c r="G6" s="589">
        <v>3</v>
      </c>
      <c r="H6" s="590">
        <f t="shared" si="0"/>
        <v>0</v>
      </c>
    </row>
    <row r="7" spans="1:13" x14ac:dyDescent="0.25">
      <c r="A7" s="2"/>
      <c r="B7" s="671" t="s">
        <v>314</v>
      </c>
      <c r="C7" s="668"/>
      <c r="D7" s="47"/>
      <c r="E7" s="669">
        <v>4</v>
      </c>
      <c r="F7" s="674" t="s">
        <v>15</v>
      </c>
      <c r="G7" s="589">
        <v>4</v>
      </c>
      <c r="H7" s="590">
        <f t="shared" si="0"/>
        <v>0</v>
      </c>
    </row>
    <row r="8" spans="1:13" x14ac:dyDescent="0.25">
      <c r="A8" s="2"/>
      <c r="B8" s="420" t="s">
        <v>315</v>
      </c>
      <c r="C8" s="132"/>
      <c r="D8" s="3"/>
      <c r="E8" s="103">
        <f>0.001*E5/(0.25*3.14*(0.0254*E7)^2)</f>
        <v>1.1010937500000002</v>
      </c>
      <c r="F8" s="128" t="s">
        <v>16</v>
      </c>
      <c r="G8" s="645">
        <f>0.001*G5/(0.25*3.14*(0.0254*G7)^2)</f>
        <v>1.1010937500000002</v>
      </c>
      <c r="H8" s="590">
        <f t="shared" si="0"/>
        <v>0</v>
      </c>
    </row>
    <row r="9" spans="1:13" x14ac:dyDescent="0.25">
      <c r="A9" s="2"/>
      <c r="B9" s="421" t="s">
        <v>398</v>
      </c>
      <c r="C9" s="422"/>
      <c r="D9" s="3"/>
      <c r="E9" s="65">
        <f>(10.672*E6*(0.001*E5/E4)^1.852)/(0.0254*E7)^4.871</f>
        <v>3.2882006104705597E-2</v>
      </c>
      <c r="F9" s="423" t="s">
        <v>6</v>
      </c>
      <c r="G9" s="588">
        <f>(10.672*G6*(0.001*G5/G4)^1.852)/(0.0254*G7)^4.871</f>
        <v>3.2882006104705597E-2</v>
      </c>
      <c r="H9" s="590">
        <f t="shared" si="0"/>
        <v>0</v>
      </c>
      <c r="J9" s="43"/>
      <c r="K9" s="43"/>
      <c r="L9" s="524"/>
    </row>
    <row r="10" spans="1:13" x14ac:dyDescent="0.25">
      <c r="A10" s="2"/>
      <c r="B10" s="420" t="s">
        <v>95</v>
      </c>
      <c r="C10" s="132"/>
      <c r="E10" s="103">
        <f>E8^2/19.6</f>
        <v>6.1857522769850154E-2</v>
      </c>
      <c r="F10" s="128" t="s">
        <v>6</v>
      </c>
      <c r="G10" s="645">
        <f>G8^2/19.6</f>
        <v>6.1857522769850154E-2</v>
      </c>
      <c r="H10" s="590">
        <f t="shared" si="0"/>
        <v>0</v>
      </c>
      <c r="J10" s="43"/>
      <c r="K10" s="43"/>
      <c r="L10" s="525"/>
      <c r="M10" s="526"/>
    </row>
    <row r="11" spans="1:13" x14ac:dyDescent="0.25">
      <c r="A11" s="2"/>
      <c r="B11" s="424" t="s">
        <v>96</v>
      </c>
      <c r="C11" s="642" t="s">
        <v>284</v>
      </c>
      <c r="D11" s="642" t="s">
        <v>316</v>
      </c>
      <c r="E11" s="652" t="s">
        <v>511</v>
      </c>
      <c r="F11" s="128"/>
      <c r="G11" s="652" t="s">
        <v>511</v>
      </c>
      <c r="H11" s="590"/>
      <c r="J11" s="43"/>
      <c r="K11" s="43"/>
      <c r="L11" s="527"/>
      <c r="M11" s="528"/>
    </row>
    <row r="12" spans="1:13" x14ac:dyDescent="0.25">
      <c r="A12" s="472" t="s">
        <v>399</v>
      </c>
      <c r="B12" s="191" t="s">
        <v>428</v>
      </c>
      <c r="C12" s="377">
        <v>0.9</v>
      </c>
      <c r="D12" s="377">
        <v>1</v>
      </c>
      <c r="E12" s="653">
        <f>C12*D12*E10</f>
        <v>5.567177049286514E-2</v>
      </c>
      <c r="F12" s="128" t="s">
        <v>6</v>
      </c>
      <c r="G12" s="653">
        <f>C12*D12*$G$10</f>
        <v>5.567177049286514E-2</v>
      </c>
      <c r="H12" s="590">
        <f t="shared" si="0"/>
        <v>0</v>
      </c>
      <c r="J12" s="43"/>
      <c r="K12" s="43"/>
      <c r="L12" s="527"/>
      <c r="M12" s="528"/>
    </row>
    <row r="13" spans="1:13" x14ac:dyDescent="0.25">
      <c r="A13" s="472" t="s">
        <v>454</v>
      </c>
      <c r="B13" s="191" t="s">
        <v>455</v>
      </c>
      <c r="C13" s="377">
        <v>1.48</v>
      </c>
      <c r="D13" s="377">
        <v>1</v>
      </c>
      <c r="E13" s="653">
        <f>C13*D13*E10</f>
        <v>9.1549133699378227E-2</v>
      </c>
      <c r="F13" s="128" t="s">
        <v>6</v>
      </c>
      <c r="G13" s="653">
        <f t="shared" ref="G13:G14" si="1">C13*D13*$G$10</f>
        <v>9.1549133699378227E-2</v>
      </c>
      <c r="H13" s="590">
        <f t="shared" si="0"/>
        <v>0</v>
      </c>
      <c r="J13" s="43"/>
      <c r="K13" s="43"/>
      <c r="L13" s="527"/>
      <c r="M13" s="528"/>
    </row>
    <row r="14" spans="1:13" x14ac:dyDescent="0.25">
      <c r="A14" s="472" t="s">
        <v>399</v>
      </c>
      <c r="B14" s="191" t="s">
        <v>317</v>
      </c>
      <c r="C14" s="377">
        <v>1.8</v>
      </c>
      <c r="D14" s="377">
        <v>1</v>
      </c>
      <c r="E14" s="653">
        <f>C14*D14*E10</f>
        <v>0.11134354098573028</v>
      </c>
      <c r="F14" s="128" t="s">
        <v>6</v>
      </c>
      <c r="G14" s="653">
        <f t="shared" si="1"/>
        <v>0.11134354098573028</v>
      </c>
      <c r="H14" s="590">
        <f t="shared" si="0"/>
        <v>0</v>
      </c>
      <c r="J14" s="43"/>
      <c r="K14" s="43"/>
      <c r="L14" s="527"/>
      <c r="M14" s="528"/>
    </row>
    <row r="15" spans="1:13" ht="29.25" customHeight="1" x14ac:dyDescent="0.25">
      <c r="A15" s="2"/>
      <c r="B15" s="522" t="s">
        <v>429</v>
      </c>
      <c r="C15" s="227"/>
      <c r="D15" s="648" t="s">
        <v>308</v>
      </c>
      <c r="E15" s="649">
        <f>E21+E24</f>
        <v>0.12997667777839678</v>
      </c>
      <c r="F15" s="650" t="s">
        <v>6</v>
      </c>
      <c r="G15" s="655">
        <f>G21+G24</f>
        <v>0.12997667777839678</v>
      </c>
      <c r="H15" s="590">
        <f t="shared" si="0"/>
        <v>0</v>
      </c>
      <c r="J15" s="43"/>
      <c r="K15" s="43"/>
      <c r="L15" s="527"/>
      <c r="M15" s="528"/>
    </row>
    <row r="16" spans="1:13" ht="18.75" x14ac:dyDescent="0.35">
      <c r="A16" s="2"/>
      <c r="B16" s="126" t="s">
        <v>309</v>
      </c>
      <c r="C16" s="523" t="s">
        <v>400</v>
      </c>
      <c r="D16" s="523" t="s">
        <v>311</v>
      </c>
      <c r="E16" s="651">
        <v>150</v>
      </c>
      <c r="F16" s="425"/>
      <c r="G16" s="656">
        <v>150</v>
      </c>
      <c r="H16" s="590">
        <f t="shared" si="0"/>
        <v>0</v>
      </c>
      <c r="J16" s="43"/>
      <c r="K16" s="43"/>
      <c r="L16" s="527"/>
      <c r="M16" s="528"/>
    </row>
    <row r="17" spans="1:13" x14ac:dyDescent="0.25">
      <c r="A17" s="2"/>
      <c r="B17" s="510" t="s">
        <v>312</v>
      </c>
      <c r="C17" s="101"/>
      <c r="D17" s="3"/>
      <c r="E17" s="124">
        <f>E29</f>
        <v>8.9223934455000009</v>
      </c>
      <c r="F17" s="192" t="s">
        <v>1</v>
      </c>
      <c r="G17" s="608">
        <f>G29</f>
        <v>8.9223934455000009</v>
      </c>
      <c r="H17" s="590">
        <f t="shared" si="0"/>
        <v>0</v>
      </c>
      <c r="J17" s="43"/>
      <c r="K17" s="43"/>
      <c r="L17" s="527"/>
      <c r="M17" s="528"/>
    </row>
    <row r="18" spans="1:13" x14ac:dyDescent="0.25">
      <c r="A18" s="2"/>
      <c r="B18" s="667" t="s">
        <v>313</v>
      </c>
      <c r="C18" s="668"/>
      <c r="D18" s="47"/>
      <c r="E18" s="669">
        <v>1.7</v>
      </c>
      <c r="F18" s="673" t="s">
        <v>46</v>
      </c>
      <c r="G18" s="589">
        <v>1.7</v>
      </c>
      <c r="H18" s="590">
        <f t="shared" si="0"/>
        <v>0</v>
      </c>
      <c r="J18" s="43"/>
      <c r="K18" s="43"/>
      <c r="L18" s="527"/>
      <c r="M18" s="528"/>
    </row>
    <row r="19" spans="1:13" x14ac:dyDescent="0.25">
      <c r="A19" s="2"/>
      <c r="B19" s="671" t="s">
        <v>314</v>
      </c>
      <c r="C19" s="668"/>
      <c r="D19" s="47"/>
      <c r="E19" s="669">
        <v>4</v>
      </c>
      <c r="F19" s="674" t="s">
        <v>15</v>
      </c>
      <c r="G19" s="589">
        <v>4</v>
      </c>
      <c r="H19" s="590">
        <f t="shared" si="0"/>
        <v>0</v>
      </c>
      <c r="J19" s="43"/>
      <c r="K19" s="43"/>
      <c r="L19" s="527"/>
      <c r="M19" s="528"/>
    </row>
    <row r="20" spans="1:13" x14ac:dyDescent="0.25">
      <c r="A20" s="2"/>
      <c r="B20" s="420" t="s">
        <v>315</v>
      </c>
      <c r="C20" s="132"/>
      <c r="D20" s="3"/>
      <c r="E20" s="103">
        <f>0.001*E17/(0.25*3.14*(0.0254*E19)^2)</f>
        <v>1.1010937500000002</v>
      </c>
      <c r="F20" s="128" t="s">
        <v>16</v>
      </c>
      <c r="G20" s="645">
        <f>0.001*G17/(0.25*3.14*(0.0254*G19)^2)</f>
        <v>1.1010937500000002</v>
      </c>
      <c r="H20" s="590">
        <f t="shared" si="0"/>
        <v>0</v>
      </c>
      <c r="J20" s="43"/>
      <c r="K20" s="43"/>
      <c r="L20" s="527"/>
      <c r="M20" s="528"/>
    </row>
    <row r="21" spans="1:13" x14ac:dyDescent="0.25">
      <c r="A21" s="2"/>
      <c r="B21" s="421" t="s">
        <v>398</v>
      </c>
      <c r="C21" s="422"/>
      <c r="D21" s="3"/>
      <c r="E21" s="65">
        <f>(10.672*E18*(0.001*E17/E16)^1.852)/(0.0254*E19)^4.871</f>
        <v>1.8633136792666503E-2</v>
      </c>
      <c r="F21" s="423" t="s">
        <v>6</v>
      </c>
      <c r="G21" s="588">
        <f>(10.672*G18*(0.001*G17/G16)^1.852)/(0.0254*G19)^4.871</f>
        <v>1.8633136792666503E-2</v>
      </c>
      <c r="H21" s="590">
        <f t="shared" si="0"/>
        <v>0</v>
      </c>
      <c r="J21" s="43"/>
      <c r="K21" s="43"/>
      <c r="L21" s="527"/>
      <c r="M21" s="528"/>
    </row>
    <row r="22" spans="1:13" x14ac:dyDescent="0.25">
      <c r="A22" s="2"/>
      <c r="B22" s="420" t="s">
        <v>95</v>
      </c>
      <c r="C22" s="132"/>
      <c r="E22" s="103">
        <f>E20^2/19.6</f>
        <v>6.1857522769850154E-2</v>
      </c>
      <c r="F22" s="128" t="s">
        <v>6</v>
      </c>
      <c r="G22" s="645">
        <f>G20^2/19.6</f>
        <v>6.1857522769850154E-2</v>
      </c>
      <c r="H22" s="590">
        <f t="shared" si="0"/>
        <v>0</v>
      </c>
      <c r="J22" s="43"/>
      <c r="K22" s="43"/>
      <c r="L22" s="527"/>
      <c r="M22" s="528"/>
    </row>
    <row r="23" spans="1:13" x14ac:dyDescent="0.25">
      <c r="A23" s="2"/>
      <c r="B23" s="424" t="s">
        <v>96</v>
      </c>
      <c r="C23" s="642" t="s">
        <v>284</v>
      </c>
      <c r="D23" s="642" t="s">
        <v>316</v>
      </c>
      <c r="E23" s="652" t="s">
        <v>511</v>
      </c>
      <c r="F23" s="128"/>
      <c r="G23" s="652" t="s">
        <v>511</v>
      </c>
      <c r="H23" s="590"/>
    </row>
    <row r="24" spans="1:13" x14ac:dyDescent="0.25">
      <c r="A24" s="472" t="s">
        <v>399</v>
      </c>
      <c r="B24" s="191" t="s">
        <v>401</v>
      </c>
      <c r="C24" s="377">
        <v>1.8</v>
      </c>
      <c r="D24" s="377">
        <v>1</v>
      </c>
      <c r="E24" s="653">
        <f>C24*D24*E22</f>
        <v>0.11134354098573028</v>
      </c>
      <c r="F24" s="128" t="s">
        <v>6</v>
      </c>
      <c r="G24" s="653">
        <f>C24*D24*G22</f>
        <v>0.11134354098573028</v>
      </c>
      <c r="H24" s="590">
        <f t="shared" si="0"/>
        <v>0</v>
      </c>
    </row>
    <row r="25" spans="1:13" ht="26.25" customHeight="1" x14ac:dyDescent="0.25">
      <c r="A25" s="2"/>
      <c r="B25" s="522" t="s">
        <v>430</v>
      </c>
      <c r="C25" s="227"/>
      <c r="D25" s="648" t="s">
        <v>308</v>
      </c>
      <c r="E25" s="649">
        <f>SUM(E35:E43)</f>
        <v>0.14251878407689</v>
      </c>
      <c r="F25" s="650" t="s">
        <v>6</v>
      </c>
      <c r="G25" s="655">
        <f>SUM(G35:G43)</f>
        <v>0.14251878407689</v>
      </c>
      <c r="H25" s="590">
        <f t="shared" si="0"/>
        <v>0</v>
      </c>
    </row>
    <row r="26" spans="1:13" ht="18.75" x14ac:dyDescent="0.35">
      <c r="A26" s="2"/>
      <c r="B26" s="126" t="s">
        <v>309</v>
      </c>
      <c r="C26" s="523" t="s">
        <v>310</v>
      </c>
      <c r="D26" s="523" t="s">
        <v>431</v>
      </c>
      <c r="E26" s="651">
        <v>150</v>
      </c>
      <c r="F26" s="425"/>
      <c r="G26" s="656">
        <v>150</v>
      </c>
      <c r="H26" s="590">
        <f t="shared" si="0"/>
        <v>0</v>
      </c>
    </row>
    <row r="27" spans="1:13" x14ac:dyDescent="0.25">
      <c r="A27" s="472" t="s">
        <v>252</v>
      </c>
      <c r="B27" s="510" t="s">
        <v>432</v>
      </c>
      <c r="C27" s="101"/>
      <c r="D27" s="3"/>
      <c r="E27" s="137">
        <f>'Planta TPQA'!E49</f>
        <v>4</v>
      </c>
      <c r="F27" s="192" t="s">
        <v>34</v>
      </c>
      <c r="G27" s="629">
        <f>'Planta TPQA'!G49</f>
        <v>4</v>
      </c>
      <c r="H27" s="590">
        <f t="shared" si="0"/>
        <v>0</v>
      </c>
    </row>
    <row r="28" spans="1:13" x14ac:dyDescent="0.25">
      <c r="A28" s="2"/>
      <c r="B28" s="191" t="s">
        <v>456</v>
      </c>
      <c r="C28" s="101"/>
      <c r="D28" s="3"/>
      <c r="E28" s="102">
        <f>E45</f>
        <v>2.2305983613750002</v>
      </c>
      <c r="F28" s="192" t="s">
        <v>1</v>
      </c>
      <c r="G28" s="589">
        <f>G45</f>
        <v>2.2305983613750002</v>
      </c>
      <c r="H28" s="590">
        <f t="shared" si="0"/>
        <v>0</v>
      </c>
    </row>
    <row r="29" spans="1:13" x14ac:dyDescent="0.25">
      <c r="A29" s="2"/>
      <c r="B29" s="274" t="s">
        <v>433</v>
      </c>
      <c r="C29" s="101"/>
      <c r="D29" s="3"/>
      <c r="E29" s="102">
        <f>E27*E45</f>
        <v>8.9223934455000009</v>
      </c>
      <c r="F29" s="277" t="s">
        <v>1</v>
      </c>
      <c r="G29" s="589">
        <f>G27*G45</f>
        <v>8.9223934455000009</v>
      </c>
      <c r="H29" s="590">
        <f t="shared" si="0"/>
        <v>0</v>
      </c>
    </row>
    <row r="30" spans="1:13" x14ac:dyDescent="0.25">
      <c r="A30" s="472" t="s">
        <v>252</v>
      </c>
      <c r="B30" s="420" t="s">
        <v>457</v>
      </c>
      <c r="C30" s="132"/>
      <c r="D30" s="3"/>
      <c r="E30" s="103">
        <f>'Planta TPQA'!E52</f>
        <v>1.8</v>
      </c>
      <c r="F30" s="128" t="s">
        <v>6</v>
      </c>
      <c r="G30" s="645">
        <f>'Planta TPQA'!G52</f>
        <v>1.8</v>
      </c>
      <c r="H30" s="590">
        <f t="shared" si="0"/>
        <v>0</v>
      </c>
    </row>
    <row r="31" spans="1:13" x14ac:dyDescent="0.25">
      <c r="A31" s="2"/>
      <c r="B31" s="675" t="s">
        <v>458</v>
      </c>
      <c r="C31" s="676"/>
      <c r="D31" s="47"/>
      <c r="E31" s="62">
        <v>1.3</v>
      </c>
      <c r="F31" s="677" t="s">
        <v>6</v>
      </c>
      <c r="G31" s="588">
        <v>1.3</v>
      </c>
      <c r="H31" s="590">
        <f t="shared" si="0"/>
        <v>0</v>
      </c>
    </row>
    <row r="32" spans="1:13" x14ac:dyDescent="0.25">
      <c r="A32" s="2"/>
      <c r="B32" s="420" t="s">
        <v>434</v>
      </c>
      <c r="C32" s="132"/>
      <c r="E32" s="103">
        <f>E31+(E27-1)*E30</f>
        <v>6.7</v>
      </c>
      <c r="F32" s="128" t="s">
        <v>6</v>
      </c>
      <c r="G32" s="645">
        <f>G31+(G27-1)*G30</f>
        <v>6.7</v>
      </c>
      <c r="H32" s="590">
        <f t="shared" si="0"/>
        <v>0</v>
      </c>
    </row>
    <row r="33" spans="1:8" ht="15.95" customHeight="1" x14ac:dyDescent="0.25">
      <c r="A33" s="2"/>
      <c r="B33" s="531" t="s">
        <v>435</v>
      </c>
      <c r="C33" s="531" t="s">
        <v>436</v>
      </c>
      <c r="D33" s="531" t="s">
        <v>437</v>
      </c>
      <c r="E33" s="531" t="s">
        <v>438</v>
      </c>
      <c r="F33" s="122"/>
      <c r="G33" s="531" t="s">
        <v>438</v>
      </c>
      <c r="H33" s="657"/>
    </row>
    <row r="34" spans="1:8" ht="15.95" customHeight="1" x14ac:dyDescent="0.25">
      <c r="A34" s="2"/>
      <c r="B34" s="532"/>
      <c r="C34" s="532" t="s">
        <v>15</v>
      </c>
      <c r="D34" s="532" t="s">
        <v>1</v>
      </c>
      <c r="E34" s="532" t="s">
        <v>6</v>
      </c>
      <c r="F34" s="122"/>
      <c r="G34" s="532" t="s">
        <v>6</v>
      </c>
      <c r="H34" s="658"/>
    </row>
    <row r="35" spans="1:8" ht="15" customHeight="1" x14ac:dyDescent="0.25">
      <c r="A35" s="2"/>
      <c r="B35" s="533">
        <v>1</v>
      </c>
      <c r="C35" s="533">
        <v>4</v>
      </c>
      <c r="D35" s="534">
        <f>E29</f>
        <v>8.9223934455000009</v>
      </c>
      <c r="E35" s="535">
        <f t="shared" ref="E35:E43" si="2">(10.672*$E$32*(0.001*D35/$E$26)^1.852)/(0.0254*C35)^4.871</f>
        <v>7.3436480300509172E-2</v>
      </c>
      <c r="F35" s="419"/>
      <c r="G35" s="659">
        <f>(10.672*$G$32*(0.001*D35/$G$26)^1.852)/(0.0254*C35)^4.871</f>
        <v>7.3436480300509172E-2</v>
      </c>
      <c r="H35" s="590">
        <f t="shared" si="0"/>
        <v>0</v>
      </c>
    </row>
    <row r="36" spans="1:8" ht="15" customHeight="1" x14ac:dyDescent="0.25">
      <c r="A36" s="2"/>
      <c r="B36" s="533">
        <f>B35+1</f>
        <v>2</v>
      </c>
      <c r="C36" s="533">
        <v>4</v>
      </c>
      <c r="D36" s="534">
        <f t="shared" ref="D36:D43" si="3">MAX(0,D35-$E$28)</f>
        <v>6.6917950841250011</v>
      </c>
      <c r="E36" s="535">
        <f t="shared" si="2"/>
        <v>4.3104768144424738E-2</v>
      </c>
      <c r="F36" s="419"/>
      <c r="G36" s="659">
        <f t="shared" ref="G36:G43" si="4">(10.672*$G$32*(0.001*D36/$G$26)^1.852)/(0.0254*C36)^4.871</f>
        <v>4.3104768144424738E-2</v>
      </c>
      <c r="H36" s="590">
        <f t="shared" si="0"/>
        <v>0</v>
      </c>
    </row>
    <row r="37" spans="1:8" ht="15" customHeight="1" x14ac:dyDescent="0.25">
      <c r="A37" s="2"/>
      <c r="B37" s="533">
        <f t="shared" ref="B37:B43" si="5">B36+1</f>
        <v>3</v>
      </c>
      <c r="C37" s="533">
        <v>4</v>
      </c>
      <c r="D37" s="534">
        <f t="shared" si="3"/>
        <v>4.4611967227500013</v>
      </c>
      <c r="E37" s="535">
        <f t="shared" si="2"/>
        <v>2.0342498921577329E-2</v>
      </c>
      <c r="F37" s="122"/>
      <c r="G37" s="659">
        <f t="shared" si="4"/>
        <v>2.0342498921577329E-2</v>
      </c>
      <c r="H37" s="590">
        <f t="shared" si="0"/>
        <v>0</v>
      </c>
    </row>
    <row r="38" spans="1:8" ht="15" customHeight="1" x14ac:dyDescent="0.25">
      <c r="A38" s="2"/>
      <c r="B38" s="533">
        <f t="shared" si="5"/>
        <v>4</v>
      </c>
      <c r="C38" s="533">
        <v>4</v>
      </c>
      <c r="D38" s="534">
        <f t="shared" si="3"/>
        <v>2.2305983613750011</v>
      </c>
      <c r="E38" s="535">
        <f t="shared" si="2"/>
        <v>5.6350367103787666E-3</v>
      </c>
      <c r="F38" s="122"/>
      <c r="G38" s="659">
        <f t="shared" si="4"/>
        <v>5.6350367103787666E-3</v>
      </c>
      <c r="H38" s="590">
        <f t="shared" si="0"/>
        <v>0</v>
      </c>
    </row>
    <row r="39" spans="1:8" ht="15" customHeight="1" x14ac:dyDescent="0.25">
      <c r="A39" s="2"/>
      <c r="B39" s="533">
        <f t="shared" si="5"/>
        <v>5</v>
      </c>
      <c r="C39" s="533">
        <v>4</v>
      </c>
      <c r="D39" s="534">
        <f t="shared" si="3"/>
        <v>8.8817841970012523E-16</v>
      </c>
      <c r="E39" s="535">
        <f t="shared" si="2"/>
        <v>1.6991931851370858E-31</v>
      </c>
      <c r="F39" s="122"/>
      <c r="G39" s="659">
        <f t="shared" si="4"/>
        <v>1.6991931851370858E-31</v>
      </c>
      <c r="H39" s="590">
        <f t="shared" si="0"/>
        <v>0</v>
      </c>
    </row>
    <row r="40" spans="1:8" ht="15" customHeight="1" x14ac:dyDescent="0.25">
      <c r="A40" s="2"/>
      <c r="B40" s="533">
        <f t="shared" si="5"/>
        <v>6</v>
      </c>
      <c r="C40" s="533">
        <v>4</v>
      </c>
      <c r="D40" s="534">
        <f t="shared" si="3"/>
        <v>0</v>
      </c>
      <c r="E40" s="535">
        <f t="shared" si="2"/>
        <v>0</v>
      </c>
      <c r="F40" s="122"/>
      <c r="G40" s="659">
        <f t="shared" si="4"/>
        <v>0</v>
      </c>
      <c r="H40" s="590">
        <f t="shared" si="0"/>
        <v>0</v>
      </c>
    </row>
    <row r="41" spans="1:8" ht="15" customHeight="1" x14ac:dyDescent="0.25">
      <c r="A41" s="2"/>
      <c r="B41" s="533">
        <f t="shared" si="5"/>
        <v>7</v>
      </c>
      <c r="C41" s="533">
        <v>4</v>
      </c>
      <c r="D41" s="534">
        <f t="shared" si="3"/>
        <v>0</v>
      </c>
      <c r="E41" s="535">
        <f t="shared" si="2"/>
        <v>0</v>
      </c>
      <c r="F41" s="122"/>
      <c r="G41" s="659">
        <f t="shared" si="4"/>
        <v>0</v>
      </c>
      <c r="H41" s="590">
        <f t="shared" si="0"/>
        <v>0</v>
      </c>
    </row>
    <row r="42" spans="1:8" ht="15" customHeight="1" x14ac:dyDescent="0.25">
      <c r="A42" s="2"/>
      <c r="B42" s="533">
        <f t="shared" si="5"/>
        <v>8</v>
      </c>
      <c r="C42" s="533">
        <v>4</v>
      </c>
      <c r="D42" s="534">
        <f t="shared" si="3"/>
        <v>0</v>
      </c>
      <c r="E42" s="535">
        <f t="shared" si="2"/>
        <v>0</v>
      </c>
      <c r="F42" s="122"/>
      <c r="G42" s="659">
        <f t="shared" si="4"/>
        <v>0</v>
      </c>
      <c r="H42" s="590">
        <f t="shared" si="0"/>
        <v>0</v>
      </c>
    </row>
    <row r="43" spans="1:8" ht="15" customHeight="1" x14ac:dyDescent="0.25">
      <c r="A43" s="2"/>
      <c r="B43" s="533">
        <f t="shared" si="5"/>
        <v>9</v>
      </c>
      <c r="C43" s="533">
        <v>4</v>
      </c>
      <c r="D43" s="534">
        <f t="shared" si="3"/>
        <v>0</v>
      </c>
      <c r="E43" s="535">
        <f t="shared" si="2"/>
        <v>0</v>
      </c>
      <c r="F43" s="122"/>
      <c r="G43" s="659">
        <f t="shared" si="4"/>
        <v>0</v>
      </c>
      <c r="H43" s="590">
        <f t="shared" si="0"/>
        <v>0</v>
      </c>
    </row>
    <row r="44" spans="1:8" ht="30" customHeight="1" x14ac:dyDescent="0.25">
      <c r="A44" s="2"/>
      <c r="B44" s="522" t="s">
        <v>439</v>
      </c>
      <c r="C44" s="227" t="s">
        <v>308</v>
      </c>
      <c r="D44" s="648"/>
      <c r="E44" s="649">
        <f>SUM(E53:E70)</f>
        <v>2.3498801372138781E-2</v>
      </c>
      <c r="F44" s="650" t="s">
        <v>6</v>
      </c>
      <c r="G44" s="655">
        <f>SUM(G53:G70)</f>
        <v>2.3498801372138781E-2</v>
      </c>
      <c r="H44" s="590">
        <f t="shared" si="0"/>
        <v>0</v>
      </c>
    </row>
    <row r="45" spans="1:8" ht="15.95" customHeight="1" x14ac:dyDescent="0.25">
      <c r="A45" s="472" t="s">
        <v>255</v>
      </c>
      <c r="B45" s="510" t="s">
        <v>90</v>
      </c>
      <c r="C45" s="101"/>
      <c r="D45" s="3"/>
      <c r="E45" s="124">
        <f>Aireación!E23</f>
        <v>2.2305983613750002</v>
      </c>
      <c r="F45" s="192" t="s">
        <v>1</v>
      </c>
      <c r="G45" s="608">
        <f>Aireación!G23</f>
        <v>2.2305983613750002</v>
      </c>
      <c r="H45" s="590">
        <f t="shared" si="0"/>
        <v>0</v>
      </c>
    </row>
    <row r="46" spans="1:8" ht="15.95" customHeight="1" x14ac:dyDescent="0.35">
      <c r="A46" s="2"/>
      <c r="B46" s="126" t="s">
        <v>309</v>
      </c>
      <c r="C46" s="523" t="s">
        <v>310</v>
      </c>
      <c r="D46" s="523" t="s">
        <v>431</v>
      </c>
      <c r="E46" s="651">
        <v>150</v>
      </c>
      <c r="F46" s="425"/>
      <c r="G46" s="656">
        <v>150</v>
      </c>
      <c r="H46" s="590">
        <f t="shared" si="0"/>
        <v>0</v>
      </c>
    </row>
    <row r="47" spans="1:8" ht="15.95" customHeight="1" x14ac:dyDescent="0.25">
      <c r="A47" s="2"/>
      <c r="B47" s="510" t="s">
        <v>440</v>
      </c>
      <c r="C47" s="101"/>
      <c r="D47" s="3"/>
      <c r="E47" s="124">
        <v>18</v>
      </c>
      <c r="F47" s="192" t="s">
        <v>34</v>
      </c>
      <c r="G47" s="608">
        <v>18</v>
      </c>
      <c r="H47" s="590">
        <f t="shared" si="0"/>
        <v>0</v>
      </c>
    </row>
    <row r="48" spans="1:8" ht="15.95" customHeight="1" x14ac:dyDescent="0.25">
      <c r="A48" s="2"/>
      <c r="B48" s="191" t="s">
        <v>441</v>
      </c>
      <c r="C48" s="101"/>
      <c r="D48" s="3"/>
      <c r="E48" s="102">
        <v>0.14000000000000001</v>
      </c>
      <c r="F48" s="192" t="s">
        <v>6</v>
      </c>
      <c r="G48" s="589">
        <v>0.14000000000000001</v>
      </c>
      <c r="H48" s="590">
        <f t="shared" si="0"/>
        <v>0</v>
      </c>
    </row>
    <row r="49" spans="1:8" ht="15.95" customHeight="1" x14ac:dyDescent="0.25">
      <c r="A49" s="2"/>
      <c r="B49" s="274" t="s">
        <v>442</v>
      </c>
      <c r="C49" s="101"/>
      <c r="D49" s="3"/>
      <c r="E49" s="102">
        <f>E47*E48</f>
        <v>2.5200000000000005</v>
      </c>
      <c r="F49" s="277" t="s">
        <v>6</v>
      </c>
      <c r="G49" s="589">
        <f>G47*G48</f>
        <v>2.5200000000000005</v>
      </c>
      <c r="H49" s="590">
        <f t="shared" si="0"/>
        <v>0</v>
      </c>
    </row>
    <row r="50" spans="1:8" ht="15.75" customHeight="1" x14ac:dyDescent="0.25">
      <c r="A50" s="2"/>
      <c r="B50" s="420" t="s">
        <v>443</v>
      </c>
      <c r="C50" s="132"/>
      <c r="D50" s="3"/>
      <c r="E50" s="103">
        <f>E45/E47</f>
        <v>0.12392213118750001</v>
      </c>
      <c r="F50" s="128" t="s">
        <v>1</v>
      </c>
      <c r="G50" s="645">
        <f>G45/G47</f>
        <v>0.12392213118750001</v>
      </c>
      <c r="H50" s="590">
        <f t="shared" si="0"/>
        <v>0</v>
      </c>
    </row>
    <row r="51" spans="1:8" x14ac:dyDescent="0.25">
      <c r="A51" s="2"/>
      <c r="B51" s="531" t="s">
        <v>435</v>
      </c>
      <c r="C51" s="531" t="s">
        <v>436</v>
      </c>
      <c r="D51" s="531" t="s">
        <v>437</v>
      </c>
      <c r="E51" s="531" t="s">
        <v>438</v>
      </c>
      <c r="F51" s="122"/>
      <c r="G51" s="531" t="s">
        <v>438</v>
      </c>
      <c r="H51" s="657"/>
    </row>
    <row r="52" spans="1:8" x14ac:dyDescent="0.25">
      <c r="A52" s="2"/>
      <c r="B52" s="532"/>
      <c r="C52" s="532" t="s">
        <v>15</v>
      </c>
      <c r="D52" s="532" t="s">
        <v>1</v>
      </c>
      <c r="E52" s="532" t="s">
        <v>6</v>
      </c>
      <c r="F52" s="122"/>
      <c r="G52" s="532" t="s">
        <v>6</v>
      </c>
      <c r="H52" s="658"/>
    </row>
    <row r="53" spans="1:8" x14ac:dyDescent="0.25">
      <c r="A53" s="2"/>
      <c r="B53" s="533">
        <v>1</v>
      </c>
      <c r="C53" s="534">
        <v>2</v>
      </c>
      <c r="D53" s="534">
        <f>E45</f>
        <v>2.2305983613750002</v>
      </c>
      <c r="E53" s="535">
        <f t="shared" ref="E53:E70" si="6">(10.672*$E$48*(0.001*D53/$E$46)^1.852)/(0.0254*C53)^4.871</f>
        <v>3.4456177144207424E-3</v>
      </c>
      <c r="F53" s="419"/>
      <c r="G53" s="535">
        <f>(10.672*$G$48*(0.001*D53/$G$46)^1.852)/(0.0254*C53)^4.871</f>
        <v>3.4456177144207424E-3</v>
      </c>
      <c r="H53" s="125">
        <f t="shared" ref="H53:H70" si="7">G53-E53</f>
        <v>0</v>
      </c>
    </row>
    <row r="54" spans="1:8" x14ac:dyDescent="0.25">
      <c r="A54" s="2"/>
      <c r="B54" s="533">
        <f>B53+1</f>
        <v>2</v>
      </c>
      <c r="C54" s="534">
        <v>2</v>
      </c>
      <c r="D54" s="534">
        <f t="shared" ref="D54:D70" si="8">D53-$E$50</f>
        <v>2.1066762301875004</v>
      </c>
      <c r="E54" s="535">
        <f t="shared" si="6"/>
        <v>3.0995155140427083E-3</v>
      </c>
      <c r="F54" s="419"/>
      <c r="G54" s="535">
        <f t="shared" ref="G54:G70" si="9">(10.672*$G$48*(0.001*D54/$G$46)^1.852)/(0.0254*C54)^4.871</f>
        <v>3.0995155140427083E-3</v>
      </c>
      <c r="H54" s="125">
        <f t="shared" si="7"/>
        <v>0</v>
      </c>
    </row>
    <row r="55" spans="1:8" x14ac:dyDescent="0.25">
      <c r="A55" s="2"/>
      <c r="B55" s="533">
        <f t="shared" ref="B55:B70" si="10">B54+1</f>
        <v>3</v>
      </c>
      <c r="C55" s="534">
        <v>2</v>
      </c>
      <c r="D55" s="534">
        <f t="shared" si="8"/>
        <v>1.9827540990000003</v>
      </c>
      <c r="E55" s="535">
        <f t="shared" si="6"/>
        <v>2.7703371120088257E-3</v>
      </c>
      <c r="F55" s="122"/>
      <c r="G55" s="535">
        <f t="shared" si="9"/>
        <v>2.7703371120088257E-3</v>
      </c>
      <c r="H55" s="125">
        <f t="shared" si="7"/>
        <v>0</v>
      </c>
    </row>
    <row r="56" spans="1:8" x14ac:dyDescent="0.25">
      <c r="A56" s="2"/>
      <c r="B56" s="533">
        <f t="shared" si="10"/>
        <v>4</v>
      </c>
      <c r="C56" s="534">
        <v>2</v>
      </c>
      <c r="D56" s="534">
        <f t="shared" si="8"/>
        <v>1.8588319678125003</v>
      </c>
      <c r="E56" s="535">
        <f t="shared" si="6"/>
        <v>2.4582351474350017E-3</v>
      </c>
      <c r="F56" s="122"/>
      <c r="G56" s="535">
        <f t="shared" si="9"/>
        <v>2.4582351474350017E-3</v>
      </c>
      <c r="H56" s="125">
        <f t="shared" si="7"/>
        <v>0</v>
      </c>
    </row>
    <row r="57" spans="1:8" x14ac:dyDescent="0.25">
      <c r="A57" s="2"/>
      <c r="B57" s="533">
        <f t="shared" si="10"/>
        <v>5</v>
      </c>
      <c r="C57" s="534">
        <v>2</v>
      </c>
      <c r="D57" s="534">
        <f t="shared" si="8"/>
        <v>1.7349098366250002</v>
      </c>
      <c r="E57" s="535">
        <f t="shared" si="6"/>
        <v>2.1633736424325244E-3</v>
      </c>
      <c r="F57" s="122"/>
      <c r="G57" s="535">
        <f t="shared" si="9"/>
        <v>2.1633736424325244E-3</v>
      </c>
      <c r="H57" s="125">
        <f t="shared" si="7"/>
        <v>0</v>
      </c>
    </row>
    <row r="58" spans="1:8" x14ac:dyDescent="0.25">
      <c r="A58" s="2"/>
      <c r="B58" s="533">
        <f t="shared" si="10"/>
        <v>6</v>
      </c>
      <c r="C58" s="534">
        <v>2</v>
      </c>
      <c r="D58" s="534">
        <f t="shared" si="8"/>
        <v>1.6109877054375001</v>
      </c>
      <c r="E58" s="535">
        <f t="shared" si="6"/>
        <v>1.8859297027345814E-3</v>
      </c>
      <c r="F58" s="122"/>
      <c r="G58" s="535">
        <f t="shared" si="9"/>
        <v>1.8859297027345814E-3</v>
      </c>
      <c r="H58" s="125">
        <f t="shared" si="7"/>
        <v>0</v>
      </c>
    </row>
    <row r="59" spans="1:8" x14ac:dyDescent="0.25">
      <c r="A59" s="2"/>
      <c r="B59" s="533">
        <f t="shared" si="10"/>
        <v>7</v>
      </c>
      <c r="C59" s="534">
        <v>2</v>
      </c>
      <c r="D59" s="534">
        <f t="shared" si="8"/>
        <v>1.4870655742500001</v>
      </c>
      <c r="E59" s="535">
        <f t="shared" si="6"/>
        <v>1.6260956190489995E-3</v>
      </c>
      <c r="F59" s="122"/>
      <c r="G59" s="535">
        <f t="shared" si="9"/>
        <v>1.6260956190489995E-3</v>
      </c>
      <c r="H59" s="125">
        <f t="shared" si="7"/>
        <v>0</v>
      </c>
    </row>
    <row r="60" spans="1:8" x14ac:dyDescent="0.25">
      <c r="A60" s="2"/>
      <c r="B60" s="533">
        <f t="shared" si="10"/>
        <v>8</v>
      </c>
      <c r="C60" s="534">
        <v>2</v>
      </c>
      <c r="D60" s="534">
        <f t="shared" si="8"/>
        <v>1.3631434430625</v>
      </c>
      <c r="E60" s="535">
        <f t="shared" si="6"/>
        <v>1.3840815038340011E-3</v>
      </c>
      <c r="F60" s="122"/>
      <c r="G60" s="535">
        <f t="shared" si="9"/>
        <v>1.3840815038340011E-3</v>
      </c>
      <c r="H60" s="125">
        <f t="shared" si="7"/>
        <v>0</v>
      </c>
    </row>
    <row r="61" spans="1:8" x14ac:dyDescent="0.25">
      <c r="A61" s="2"/>
      <c r="B61" s="533">
        <f t="shared" si="10"/>
        <v>9</v>
      </c>
      <c r="C61" s="534">
        <v>2</v>
      </c>
      <c r="D61" s="534">
        <f t="shared" si="8"/>
        <v>1.239221311875</v>
      </c>
      <c r="E61" s="535">
        <f t="shared" si="6"/>
        <v>1.1601186594515562E-3</v>
      </c>
      <c r="F61" s="122"/>
      <c r="G61" s="535">
        <f t="shared" si="9"/>
        <v>1.1601186594515562E-3</v>
      </c>
      <c r="H61" s="125">
        <f t="shared" si="7"/>
        <v>0</v>
      </c>
    </row>
    <row r="62" spans="1:8" x14ac:dyDescent="0.25">
      <c r="A62" s="2"/>
      <c r="B62" s="533">
        <f t="shared" si="10"/>
        <v>10</v>
      </c>
      <c r="C62" s="534">
        <v>2</v>
      </c>
      <c r="D62" s="534">
        <f t="shared" si="8"/>
        <v>1.1152991806874999</v>
      </c>
      <c r="E62" s="535">
        <f t="shared" si="6"/>
        <v>9.544639714886493E-4</v>
      </c>
      <c r="F62" s="122"/>
      <c r="G62" s="535">
        <f t="shared" si="9"/>
        <v>9.544639714886493E-4</v>
      </c>
      <c r="H62" s="125">
        <f t="shared" si="7"/>
        <v>0</v>
      </c>
    </row>
    <row r="63" spans="1:8" x14ac:dyDescent="0.25">
      <c r="A63" s="2"/>
      <c r="B63" s="533">
        <f t="shared" si="10"/>
        <v>11</v>
      </c>
      <c r="C63" s="534">
        <v>2</v>
      </c>
      <c r="D63" s="534">
        <f t="shared" si="8"/>
        <v>0.99137704949999983</v>
      </c>
      <c r="E63" s="535">
        <f t="shared" si="6"/>
        <v>7.6740578364911975E-4</v>
      </c>
      <c r="F63" s="122"/>
      <c r="G63" s="535">
        <f t="shared" si="9"/>
        <v>7.6740578364911975E-4</v>
      </c>
      <c r="H63" s="125">
        <f t="shared" si="7"/>
        <v>0</v>
      </c>
    </row>
    <row r="64" spans="1:8" x14ac:dyDescent="0.25">
      <c r="A64" s="2"/>
      <c r="B64" s="533">
        <f t="shared" si="10"/>
        <v>12</v>
      </c>
      <c r="C64" s="534">
        <v>2</v>
      </c>
      <c r="D64" s="534">
        <f t="shared" si="8"/>
        <v>0.86745491831249977</v>
      </c>
      <c r="E64" s="535">
        <f t="shared" si="6"/>
        <v>5.9927199408340204E-4</v>
      </c>
      <c r="F64" s="122"/>
      <c r="G64" s="535">
        <f t="shared" si="9"/>
        <v>5.9927199408340204E-4</v>
      </c>
      <c r="H64" s="125">
        <f t="shared" si="7"/>
        <v>0</v>
      </c>
    </row>
    <row r="65" spans="1:8" x14ac:dyDescent="0.25">
      <c r="A65" s="2"/>
      <c r="B65" s="533">
        <f t="shared" si="10"/>
        <v>13</v>
      </c>
      <c r="C65" s="534">
        <v>2</v>
      </c>
      <c r="D65" s="534">
        <f t="shared" si="8"/>
        <v>0.74353278712499971</v>
      </c>
      <c r="E65" s="535">
        <f t="shared" si="6"/>
        <v>4.5044163665693349E-4</v>
      </c>
      <c r="F65" s="122"/>
      <c r="G65" s="535">
        <f t="shared" si="9"/>
        <v>4.5044163665693349E-4</v>
      </c>
      <c r="H65" s="125">
        <f t="shared" si="7"/>
        <v>0</v>
      </c>
    </row>
    <row r="66" spans="1:8" x14ac:dyDescent="0.25">
      <c r="A66" s="2"/>
      <c r="B66" s="533">
        <f t="shared" si="10"/>
        <v>14</v>
      </c>
      <c r="C66" s="534">
        <v>2</v>
      </c>
      <c r="D66" s="534">
        <f t="shared" si="8"/>
        <v>0.61961065593749964</v>
      </c>
      <c r="E66" s="535">
        <f t="shared" si="6"/>
        <v>3.2136225050850365E-4</v>
      </c>
      <c r="G66" s="535">
        <f t="shared" si="9"/>
        <v>3.2136225050850365E-4</v>
      </c>
      <c r="H66" s="125">
        <f t="shared" si="7"/>
        <v>0</v>
      </c>
    </row>
    <row r="67" spans="1:8" x14ac:dyDescent="0.25">
      <c r="A67" s="2"/>
      <c r="B67" s="533">
        <f t="shared" si="10"/>
        <v>15</v>
      </c>
      <c r="C67" s="534">
        <v>2</v>
      </c>
      <c r="D67" s="534">
        <f t="shared" si="8"/>
        <v>0.49568852474999964</v>
      </c>
      <c r="E67" s="535">
        <f t="shared" si="6"/>
        <v>2.1257760805546455E-4</v>
      </c>
      <c r="G67" s="535">
        <f t="shared" si="9"/>
        <v>2.1257760805546455E-4</v>
      </c>
      <c r="H67" s="125">
        <f t="shared" si="7"/>
        <v>0</v>
      </c>
    </row>
    <row r="68" spans="1:8" x14ac:dyDescent="0.25">
      <c r="A68" s="2"/>
      <c r="B68" s="533">
        <f t="shared" si="10"/>
        <v>16</v>
      </c>
      <c r="C68" s="534">
        <v>2</v>
      </c>
      <c r="D68" s="534">
        <f t="shared" si="8"/>
        <v>0.37176639356249963</v>
      </c>
      <c r="E68" s="535">
        <f t="shared" si="6"/>
        <v>1.2477597606027512E-4</v>
      </c>
      <c r="G68" s="535">
        <f t="shared" si="9"/>
        <v>1.2477597606027512E-4</v>
      </c>
      <c r="H68" s="125">
        <f t="shared" si="7"/>
        <v>0</v>
      </c>
    </row>
    <row r="69" spans="1:8" x14ac:dyDescent="0.25">
      <c r="A69" s="2"/>
      <c r="B69" s="533">
        <f t="shared" si="10"/>
        <v>17</v>
      </c>
      <c r="C69" s="534">
        <v>2</v>
      </c>
      <c r="D69" s="534">
        <f t="shared" si="8"/>
        <v>0.24784426237499962</v>
      </c>
      <c r="E69" s="535">
        <f t="shared" si="6"/>
        <v>5.8885716539301617E-5</v>
      </c>
      <c r="G69" s="535">
        <f t="shared" si="9"/>
        <v>5.8885716539301617E-5</v>
      </c>
      <c r="H69" s="125">
        <f t="shared" si="7"/>
        <v>0</v>
      </c>
    </row>
    <row r="70" spans="1:8" x14ac:dyDescent="0.25">
      <c r="A70" s="2"/>
      <c r="B70" s="533">
        <f t="shared" si="10"/>
        <v>18</v>
      </c>
      <c r="C70" s="534">
        <v>2</v>
      </c>
      <c r="D70" s="534">
        <f t="shared" si="8"/>
        <v>0.12392213118749962</v>
      </c>
      <c r="E70" s="535">
        <f t="shared" si="6"/>
        <v>1.6311819688187612E-5</v>
      </c>
      <c r="G70" s="535">
        <f t="shared" si="9"/>
        <v>1.6311819688187612E-5</v>
      </c>
      <c r="H70" s="125">
        <f t="shared" si="7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Aireación</vt:lpstr>
      <vt:lpstr>Planta TPQA</vt:lpstr>
      <vt:lpstr>Lecho de Secado</vt:lpstr>
      <vt:lpstr>Nitrificacion</vt:lpstr>
      <vt:lpstr>Agua-T°C</vt:lpstr>
      <vt:lpstr>Floculación</vt:lpstr>
      <vt:lpstr>Valvula Flotador</vt:lpstr>
      <vt:lpstr>Tuberías Varias</vt:lpstr>
      <vt:lpstr>Tubería de Aireación</vt:lpstr>
      <vt:lpstr>'Planta TPQA'!_Hlk57647304</vt:lpstr>
      <vt:lpstr>'Planta TPQA'!Área_de_impresión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2013-06-23T19:08:58Z</cp:lastPrinted>
  <dcterms:created xsi:type="dcterms:W3CDTF">2010-07-01T13:55:26Z</dcterms:created>
  <dcterms:modified xsi:type="dcterms:W3CDTF">2023-07-10T20:58:12Z</dcterms:modified>
</cp:coreProperties>
</file>